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mvJFZUXrJdNoQEoFBi9OYFiWzI4ymbiO5g1O0dT6Vr+IIk/v18Hw+G7JFBp0lLQpRLv3cvib4zTHj4sg+yOOA==" workbookSaltValue="bdK7RB+zDQUGtMa6TVLbn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BV25" i="16"/>
  <c r="BW16" i="20"/>
  <c r="U10" i="17"/>
  <c r="BV10" i="16"/>
  <c r="BU18" i="17"/>
  <c r="S11" i="17"/>
  <c r="BV20" i="16"/>
  <c r="T14" i="16"/>
  <c r="AZ22" i="11"/>
  <c r="R28" i="14"/>
  <c r="X16" i="17"/>
  <c r="T17" i="11"/>
  <c r="P16" i="17"/>
  <c r="BF12" i="11"/>
  <c r="BH25" i="16"/>
  <c r="BK20" i="11"/>
  <c r="BJ10" i="11"/>
  <c r="Q16" i="17"/>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23" i="14"/>
  <c r="G30" i="14"/>
  <c r="BF17" i="8" l="1"/>
  <c r="BD12" i="8"/>
  <c r="BV17" i="16"/>
  <c r="BW9" i="20"/>
  <c r="BU28" i="17"/>
  <c r="BM20" i="11"/>
  <c r="BL25" i="11"/>
  <c r="AP22" i="20"/>
  <c r="V13" i="11"/>
  <c r="BK21" i="11"/>
  <c r="AZ19" i="11"/>
  <c r="BF18" i="11"/>
  <c r="BG25" i="11"/>
  <c r="V9" i="16"/>
  <c r="AA9" i="16"/>
  <c r="L21" i="2"/>
  <c r="AA11" i="16"/>
  <c r="L20" i="2"/>
  <c r="L18" i="2"/>
  <c r="X19" i="16"/>
  <c r="L17" i="2"/>
  <c r="L16" i="2"/>
  <c r="L29" i="2"/>
  <c r="L22" i="2"/>
  <c r="BI21" i="11"/>
  <c r="BK10" i="11"/>
  <c r="BH25" i="11"/>
  <c r="BI22" i="11"/>
  <c r="AQ12" i="21"/>
  <c r="BL22" i="11"/>
  <c r="BH17" i="11"/>
  <c r="BF16" i="11"/>
  <c r="BM18" i="11"/>
  <c r="BK17" i="11"/>
  <c r="AZ25" i="11"/>
  <c r="AZ30" i="11" s="1"/>
  <c r="BH21" i="11"/>
  <c r="BL16" i="11"/>
  <c r="BL20" i="11"/>
  <c r="S16" i="16"/>
  <c r="BF20" i="11"/>
  <c r="AZ17" i="11"/>
  <c r="AA20" i="16"/>
  <c r="BU17" i="17"/>
  <c r="BV29" i="16"/>
  <c r="BW22" i="20"/>
  <c r="BW29" i="20"/>
  <c r="BU20" i="17"/>
  <c r="BV11" i="16"/>
  <c r="BW17" i="20"/>
  <c r="BU21" i="17"/>
  <c r="BU11" i="17"/>
  <c r="BJ28" i="11"/>
  <c r="AZ9" i="11"/>
  <c r="AZ14" i="11" s="1"/>
  <c r="AZ13" i="11"/>
  <c r="BI19" i="11"/>
  <c r="BI25" i="11"/>
  <c r="BG22" i="11"/>
  <c r="Q18" i="20"/>
  <c r="Q23" i="20" s="1"/>
  <c r="V16" i="11"/>
  <c r="Z14" i="17"/>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9" i="17"/>
  <c r="BV21" i="16"/>
  <c r="BW13" i="20"/>
  <c r="BV13" i="16"/>
  <c r="BV28" i="16"/>
  <c r="BU25" i="17"/>
  <c r="BG21" i="11"/>
  <c r="AP18" i="20"/>
  <c r="AP26" i="21"/>
  <c r="BG19" i="11"/>
  <c r="V20" i="11"/>
  <c r="AP16" i="20"/>
  <c r="BJ16" i="11"/>
  <c r="V9" i="11"/>
  <c r="BM12" i="11"/>
  <c r="V11" i="11"/>
  <c r="BK29" i="11"/>
  <c r="BG20" i="11"/>
  <c r="BF28" i="11"/>
  <c r="BH16" i="16"/>
  <c r="BF13" i="11"/>
  <c r="BH9"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<sst xmlns="http://schemas.openxmlformats.org/spreadsheetml/2006/main" count="2682" uniqueCount="1192">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</sst>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GcacgzTOYsnWLZJmgU7nkZZIOlE2ChEVzF7DyJuCFaSauWncYw5Hrb29eBwZGapKFhzdGsrqSSFqU2Y5PfOmg==" saltValue="HWx9B50Mhz6j2gtCVpNW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57</v>
      </c>
      <c r="D10" s="239">
        <f>IF(ISNUMBER(Datos!I10),Datos!I10," - ")</f>
        <v>57</v>
      </c>
      <c r="E10" s="240">
        <f>IF(ISNUMBER(Datos!J10),Datos!J10," - ")</f>
        <v>168</v>
      </c>
      <c r="F10" s="240">
        <f>IF(ISNUMBER(Datos!K10),Datos!K10," - ")</f>
        <v>143</v>
      </c>
      <c r="G10" s="1390" t="str">
        <f>IF(Datos!E10&lt;&gt;"",Datos!E10,Datos!D10)</f>
        <v>37</v>
      </c>
      <c r="H10" s="241">
        <f>IF(ISNUMBER(Datos!L10),Datos!L10," - ")</f>
        <v>82</v>
      </c>
      <c r="I10" s="1400" t="str">
        <f>IF(ISNUMBER(Datos!AS10/Datos!BM10),Datos!AS10/Datos!BM10," - ")</f>
        <v xml:space="preserve"> - </v>
      </c>
      <c r="J10" s="1401">
        <f>IF(ISNUMBER(Datos!BY10/Datos!CN10),Datos!BY10/Datos!CN10," - ")</f>
        <v>0</v>
      </c>
      <c r="K10" s="244">
        <f t="shared" ref="K10:K13" si="1">IF(ISNUMBER((E10-F10)/C10),(E10-F10)/C10," - ")</f>
        <v>0.43859649122807015</v>
      </c>
      <c r="L10" s="1402">
        <f>IF(ISNUMBER(NºAsuntos!I10/NºAsuntos!G10),(NºAsuntos!I10/NºAsuntos!G10)*11," - ")</f>
        <v>6.3076923076923075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4.6540764123217588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57</v>
      </c>
      <c r="D14" s="1407">
        <f>SUBTOTAL(9,D9:D13)</f>
        <v>57</v>
      </c>
      <c r="E14" s="1408">
        <f>SUBTOTAL(9,E9:E13)</f>
        <v>168</v>
      </c>
      <c r="F14" s="1409">
        <f>SUBTOTAL(9,F9:F13)</f>
        <v>143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1046</v>
      </c>
      <c r="D17" s="239">
        <f>IF(ISNUMBER(IF(D_I="SI",Datos!I17,Datos!I17+Datos!AC17)),IF(D_I="SI",Datos!I17,Datos!I17+Datos!AC17)," - ")</f>
        <v>951</v>
      </c>
      <c r="E17" s="240">
        <f>IF(ISNUMBER(IF(D_I="SI",Datos!J17,Datos!J17+Datos!AD17)),IF(D_I="SI",Datos!J17,Datos!J17+Datos!AD17)," - ")</f>
        <v>6852</v>
      </c>
      <c r="F17" s="240">
        <f>IF(ISNUMBER(IF(D_I="SI",Datos!K17,Datos!K17+Datos!AE17)),IF(D_I="SI",Datos!K17,Datos!K17+Datos!AE17)," - ")</f>
        <v>6830</v>
      </c>
      <c r="G17" s="1390" t="str">
        <f>IF(Datos!E17&lt;&gt;"",Datos!E17,Datos!D17)</f>
        <v>04</v>
      </c>
      <c r="H17" s="241">
        <f>IF(ISNUMBER(IF(D_I="SI",Datos!L17,Datos!L17+Datos!AF17)),IF(D_I="SI",Datos!L17,Datos!L17+Datos!AF17)," - ")</f>
        <v>1068</v>
      </c>
      <c r="I17" s="1400" t="str">
        <f>IF(ISNUMBER(Datos!AS17/Datos!BM17),Datos!AS17/Datos!BM17," - ")</f>
        <v xml:space="preserve"> - </v>
      </c>
      <c r="J17" s="1401">
        <f>IF(ISNUMBER(Datos!BY17/Datos!CN17),Datos!BY17/Datos!CN17," - ")</f>
        <v>0</v>
      </c>
      <c r="K17" s="244">
        <f t="shared" si="3"/>
        <v>2.1032504780114723E-2</v>
      </c>
      <c r="L17" s="1402">
        <f>IF(ISNUMBER(NºAsuntos!I17/NºAsuntos!G17),(NºAsuntos!I17/NºAsuntos!G17)*11," - ")</f>
        <v>1.7200585651537335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178</v>
      </c>
      <c r="D18" s="239">
        <f>IF(ISNUMBER(IF(D_I="SI",Datos!I18,Datos!I18+Datos!AC18)),IF(D_I="SI",Datos!I18,Datos!I18+Datos!AC18)," - ")</f>
        <v>171</v>
      </c>
      <c r="E18" s="240">
        <f>IF(ISNUMBER(IF(D_I="SI",Datos!J18,Datos!J18+Datos!AD18)),IF(D_I="SI",Datos!J18,Datos!J18+Datos!AD18)," - ")</f>
        <v>1098</v>
      </c>
      <c r="F18" s="240">
        <f>IF(ISNUMBER(IF(D_I="SI",Datos!K18,Datos!K18+Datos!AE18)),IF(D_I="SI",Datos!K18,Datos!K18+Datos!AE18)," - ")</f>
        <v>1123</v>
      </c>
      <c r="G18" s="1390" t="str">
        <f>IF(Datos!E18&lt;&gt;"",Datos!E18,Datos!D18)</f>
        <v>37</v>
      </c>
      <c r="H18" s="241">
        <f>IF(ISNUMBER(IF(D_I="SI",Datos!L18,Datos!L18+Datos!AF18)),IF(D_I="SI",Datos!L18,Datos!L18+Datos!AF18)," - ")</f>
        <v>153</v>
      </c>
      <c r="I18" s="1400" t="str">
        <f>IF(ISNUMBER(Datos!AS18/Datos!BM18),Datos!AS18/Datos!BM18," - ")</f>
        <v xml:space="preserve"> - </v>
      </c>
      <c r="J18" s="1401" t="str">
        <f>IF(ISNUMBER((Datos!BY18+Datos!BZ18)/Datos!CN18),(Datos!BY18+Datos!BZ18)/Datos!CN18," - ")</f>
        <v xml:space="preserve"> - </v>
      </c>
      <c r="K18" s="244">
        <f t="shared" si="3"/>
        <v>-0.1404494382022472</v>
      </c>
      <c r="L18" s="1402">
        <f>IF(ISNUMBER(NºAsuntos!I18/NºAsuntos!G18),(NºAsuntos!I18/NºAsuntos!G18)*11," - ")</f>
        <v>1.4986642920747997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1224</v>
      </c>
      <c r="D23" s="1407">
        <f>SUBTOTAL(9,D16:D22)</f>
        <v>1122</v>
      </c>
      <c r="E23" s="1408">
        <f>SUBTOTAL(9,E16:E22)</f>
        <v>7950</v>
      </c>
      <c r="F23" s="1408">
        <f>SUBTOTAL(9,F16:F22)</f>
        <v>7953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1281</v>
      </c>
      <c r="D31" s="1435">
        <f>SUBTOTAL(9,D9:D30)</f>
        <v>1179</v>
      </c>
      <c r="E31" s="1436">
        <f>SUBTOTAL(9,E9:E30)</f>
        <v>8118</v>
      </c>
      <c r="F31" s="1436">
        <f>SUBTOTAL(9,F9:F30)</f>
        <v>8096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katHOYjmrg/pssF6eAcs1eOLuSiN/tOrc/C/dF9D9tjwAyekX47cgrN6uT1Ab7XFDRBdLZ4tOxZQjK7er0GttA==" saltValue="C/ai1Hic6fT6f21+9CJiB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02pR/8M1pUgbxHmHNcT+A86BbyV/O6OI6Zs2CERgvEBdKjA3DJAqNbHRPU+qmxn4YgZtkTnf/Xos9/eNAhsgw==" saltValue="nc8V3THkKKCiYWnA3pAo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57</v>
      </c>
      <c r="J10" s="194">
        <v>168</v>
      </c>
      <c r="K10" s="194">
        <v>143</v>
      </c>
      <c r="L10" s="194">
        <v>82</v>
      </c>
      <c r="M10" s="194">
        <v>42</v>
      </c>
      <c r="N10" s="194">
        <v>59</v>
      </c>
      <c r="O10" s="194">
        <v>54</v>
      </c>
      <c r="P10" s="194">
        <v>32</v>
      </c>
      <c r="Q10" s="194">
        <v>50</v>
      </c>
      <c r="R10" s="194">
        <v>27</v>
      </c>
      <c r="S10" s="194">
        <v>67</v>
      </c>
      <c r="T10" s="194">
        <v>129</v>
      </c>
      <c r="U10" s="194">
        <v>136</v>
      </c>
      <c r="V10" s="194">
        <v>57</v>
      </c>
      <c r="W10" s="194">
        <v>55</v>
      </c>
      <c r="X10" s="201">
        <v>62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67</v>
      </c>
      <c r="AZ10" s="139">
        <f t="shared" si="0"/>
        <v>129</v>
      </c>
      <c r="BA10" s="139">
        <f t="shared" si="0"/>
        <v>136</v>
      </c>
      <c r="BB10" s="139">
        <f t="shared" si="0"/>
        <v>57</v>
      </c>
      <c r="BC10" s="135">
        <f t="shared" si="0"/>
        <v>55</v>
      </c>
      <c r="BD10" s="136">
        <f>IF(ISNUMBER(BA10/AZ10),BA10/AZ10," - ")</f>
        <v>1.054263565891473</v>
      </c>
      <c r="BE10" s="137">
        <f>IF(ISNUMBER(BB10/BA10),BB10/BA10, " - ")</f>
        <v>0.41911764705882354</v>
      </c>
      <c r="BF10" s="137">
        <f>IF(ISNUMBER(BC10/BA10),BC10/BA10, " - ")</f>
        <v>0.40441176470588236</v>
      </c>
      <c r="BG10" s="209">
        <f>IF(ISNUMBER((AY10+AZ10)/BA10),(AY10+AZ10)/BA10," - ")</f>
        <v>1.4411764705882353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3527</v>
      </c>
      <c r="J12" s="196">
        <v>8904</v>
      </c>
      <c r="K12" s="196">
        <v>8557</v>
      </c>
      <c r="L12" s="196">
        <v>3727</v>
      </c>
      <c r="M12" s="196">
        <v>1774</v>
      </c>
      <c r="N12" s="196">
        <v>4152</v>
      </c>
      <c r="O12" s="194">
        <v>3642</v>
      </c>
      <c r="P12" s="196">
        <v>2267</v>
      </c>
      <c r="Q12" s="196">
        <v>2671</v>
      </c>
      <c r="R12" s="196">
        <v>8286</v>
      </c>
      <c r="S12" s="196">
        <v>3718</v>
      </c>
      <c r="T12" s="196">
        <v>7391</v>
      </c>
      <c r="U12" s="196">
        <v>7465</v>
      </c>
      <c r="V12" s="196">
        <v>3527</v>
      </c>
      <c r="W12" s="196">
        <v>1659</v>
      </c>
      <c r="X12" s="202">
        <v>3382</v>
      </c>
      <c r="Y12" s="204">
        <v>173</v>
      </c>
      <c r="Z12" s="194">
        <v>640</v>
      </c>
      <c r="AA12" s="194">
        <v>630</v>
      </c>
      <c r="AB12" s="194">
        <v>160</v>
      </c>
      <c r="AC12" s="196">
        <v>0</v>
      </c>
      <c r="AD12" s="196">
        <v>0</v>
      </c>
      <c r="AE12" s="196">
        <v>0</v>
      </c>
      <c r="AF12" s="202">
        <v>0</v>
      </c>
      <c r="AG12" s="215">
        <v>167</v>
      </c>
      <c r="AH12" s="196">
        <v>636</v>
      </c>
      <c r="AI12" s="196">
        <v>618</v>
      </c>
      <c r="AJ12" s="216">
        <v>173</v>
      </c>
      <c r="AK12" s="195">
        <v>0</v>
      </c>
      <c r="AL12" s="196">
        <v>0</v>
      </c>
      <c r="AM12" s="196">
        <v>0</v>
      </c>
      <c r="AN12" s="202">
        <v>0</v>
      </c>
      <c r="AO12" s="283">
        <v>7</v>
      </c>
      <c r="AP12" s="168">
        <v>7</v>
      </c>
      <c r="AQ12" s="168">
        <v>7</v>
      </c>
      <c r="AR12" s="167">
        <v>7</v>
      </c>
      <c r="AS12" s="381" t="s">
        <v>1075</v>
      </c>
      <c r="AT12" s="216"/>
      <c r="AU12" s="215"/>
      <c r="AV12" s="216"/>
      <c r="AW12" s="215"/>
      <c r="AX12" s="216"/>
      <c r="AY12" s="136">
        <f t="shared" si="1"/>
        <v>3885</v>
      </c>
      <c r="AZ12" s="137">
        <f t="shared" si="1"/>
        <v>8027</v>
      </c>
      <c r="BA12" s="137">
        <f t="shared" si="1"/>
        <v>8083</v>
      </c>
      <c r="BB12" s="137">
        <f t="shared" si="1"/>
        <v>3700</v>
      </c>
      <c r="BC12" s="135">
        <f>IF(ISNUMBER(X12),X12," - ")</f>
        <v>3382</v>
      </c>
      <c r="BD12" s="136">
        <f t="shared" si="2"/>
        <v>1.0069764544661766</v>
      </c>
      <c r="BE12" s="137">
        <f t="shared" si="3"/>
        <v>0.45775083508598291</v>
      </c>
      <c r="BF12" s="137">
        <f t="shared" si="4"/>
        <v>0.41840900655697144</v>
      </c>
      <c r="BG12" s="209">
        <f t="shared" si="5"/>
        <v>1.4737102560930349</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3584</v>
      </c>
      <c r="J14" s="197">
        <f t="shared" si="7"/>
        <v>9072</v>
      </c>
      <c r="K14" s="197">
        <f t="shared" si="7"/>
        <v>8700</v>
      </c>
      <c r="L14" s="197">
        <f t="shared" si="7"/>
        <v>3809</v>
      </c>
      <c r="M14" s="197">
        <f t="shared" si="7"/>
        <v>1816</v>
      </c>
      <c r="N14" s="197">
        <f t="shared" si="7"/>
        <v>4211</v>
      </c>
      <c r="O14" s="197">
        <f t="shared" si="7"/>
        <v>3696</v>
      </c>
      <c r="P14" s="197">
        <f t="shared" si="7"/>
        <v>2299</v>
      </c>
      <c r="Q14" s="197">
        <f t="shared" si="7"/>
        <v>2721</v>
      </c>
      <c r="R14" s="197">
        <f t="shared" si="7"/>
        <v>8313</v>
      </c>
      <c r="S14" s="197">
        <f t="shared" si="7"/>
        <v>3785</v>
      </c>
      <c r="T14" s="197">
        <f t="shared" si="7"/>
        <v>7520</v>
      </c>
      <c r="U14" s="197">
        <f t="shared" si="7"/>
        <v>7601</v>
      </c>
      <c r="V14" s="197">
        <f t="shared" si="7"/>
        <v>3584</v>
      </c>
      <c r="W14" s="197">
        <f t="shared" si="7"/>
        <v>1714</v>
      </c>
      <c r="X14" s="197">
        <f t="shared" si="7"/>
        <v>3444</v>
      </c>
      <c r="Y14" s="197">
        <f t="shared" si="7"/>
        <v>173</v>
      </c>
      <c r="Z14" s="197">
        <f t="shared" si="7"/>
        <v>640</v>
      </c>
      <c r="AA14" s="197">
        <f t="shared" si="7"/>
        <v>630</v>
      </c>
      <c r="AB14" s="197">
        <f t="shared" si="7"/>
        <v>160</v>
      </c>
      <c r="AC14" s="197">
        <f t="shared" si="7"/>
        <v>0</v>
      </c>
      <c r="AD14" s="197">
        <f t="shared" si="7"/>
        <v>0</v>
      </c>
      <c r="AE14" s="197">
        <f t="shared" si="7"/>
        <v>0</v>
      </c>
      <c r="AF14" s="197">
        <f>SUBTOTAL(9,AF9:AF13)</f>
        <v>0</v>
      </c>
      <c r="AG14" s="197">
        <f t="shared" ref="AG14:AT14" si="8">SUBTOTAL(9,AG8:AG13)</f>
        <v>167</v>
      </c>
      <c r="AH14" s="197">
        <f t="shared" si="8"/>
        <v>636</v>
      </c>
      <c r="AI14" s="197">
        <f t="shared" si="8"/>
        <v>618</v>
      </c>
      <c r="AJ14" s="197">
        <f t="shared" si="8"/>
        <v>173</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3952</v>
      </c>
      <c r="AZ14" s="197">
        <f>SUBTOTAL(9,AZ8:AZ13)</f>
        <v>8156</v>
      </c>
      <c r="BA14" s="197">
        <f>SUBTOTAL(9,BA8:BA13)</f>
        <v>8219</v>
      </c>
      <c r="BB14" s="197">
        <f>SUBTOTAL(9,BB8:BB13)</f>
        <v>3757</v>
      </c>
      <c r="BC14" s="197">
        <f>SUBTOTAL(9,BC8:BC13)</f>
        <v>3437</v>
      </c>
      <c r="BD14" s="219">
        <f>IF(ISNUMBER(BA14/AZ14),BA14/AZ14," - ")</f>
        <v>1.0077243746934772</v>
      </c>
      <c r="BE14" s="220">
        <f>IF(ISNUMBER(BB14/BA14),BB14/BA14, " - ")</f>
        <v>0.45711157075069958</v>
      </c>
      <c r="BF14" s="220">
        <f>IF(ISNUMBER(BC14/BA14),BC14/BA14, " - ")</f>
        <v>0.41817739384353325</v>
      </c>
      <c r="BG14" s="221">
        <f>IF(ISNUMBER((AY14+AZ14)/BA14),(AY14+AZ14)/BA14," - ")</f>
        <v>1.4731719187249057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951</v>
      </c>
      <c r="J17" s="196">
        <v>6852</v>
      </c>
      <c r="K17" s="196">
        <v>6830</v>
      </c>
      <c r="L17" s="196">
        <v>1068</v>
      </c>
      <c r="M17" s="196">
        <v>877</v>
      </c>
      <c r="N17" s="196">
        <v>4290</v>
      </c>
      <c r="O17" s="194">
        <v>115</v>
      </c>
      <c r="P17" s="196">
        <v>259</v>
      </c>
      <c r="Q17" s="196">
        <v>293</v>
      </c>
      <c r="R17" s="196">
        <v>263</v>
      </c>
      <c r="S17" s="196">
        <v>1145</v>
      </c>
      <c r="T17" s="196">
        <v>6084</v>
      </c>
      <c r="U17" s="196">
        <v>6291</v>
      </c>
      <c r="V17" s="196">
        <v>951</v>
      </c>
      <c r="W17" s="196">
        <v>984</v>
      </c>
      <c r="X17" s="202">
        <v>3768</v>
      </c>
      <c r="Y17" s="215">
        <v>0</v>
      </c>
      <c r="Z17" s="196">
        <v>0</v>
      </c>
      <c r="AA17" s="196">
        <v>0</v>
      </c>
      <c r="AB17" s="196">
        <v>0</v>
      </c>
      <c r="AC17" s="196">
        <v>0</v>
      </c>
      <c r="AD17" s="196">
        <v>49</v>
      </c>
      <c r="AE17" s="196">
        <v>49</v>
      </c>
      <c r="AF17" s="202">
        <v>0</v>
      </c>
      <c r="AG17" s="215">
        <v>0</v>
      </c>
      <c r="AH17" s="196">
        <v>0</v>
      </c>
      <c r="AI17" s="196">
        <v>0</v>
      </c>
      <c r="AJ17" s="216">
        <v>0</v>
      </c>
      <c r="AK17" s="195">
        <v>18</v>
      </c>
      <c r="AL17" s="196">
        <v>38</v>
      </c>
      <c r="AM17" s="196">
        <v>37</v>
      </c>
      <c r="AN17" s="202">
        <v>0</v>
      </c>
      <c r="AO17" s="283">
        <v>7</v>
      </c>
      <c r="AP17" s="168">
        <v>7</v>
      </c>
      <c r="AQ17" s="168">
        <v>7</v>
      </c>
      <c r="AR17" s="168">
        <v>7</v>
      </c>
      <c r="AS17" s="381" t="s">
        <v>650</v>
      </c>
      <c r="AT17" s="216"/>
      <c r="AU17" s="215"/>
      <c r="AV17" s="216"/>
      <c r="AW17" s="215"/>
      <c r="AX17" s="216"/>
      <c r="AY17" s="136">
        <f t="shared" si="10"/>
        <v>1145</v>
      </c>
      <c r="AZ17" s="137">
        <f t="shared" si="10"/>
        <v>6084</v>
      </c>
      <c r="BA17" s="137">
        <f t="shared" si="10"/>
        <v>6291</v>
      </c>
      <c r="BB17" s="137">
        <f t="shared" si="10"/>
        <v>951</v>
      </c>
      <c r="BC17" s="135">
        <f>IF(ISNUMBER(W17),W17," - ")</f>
        <v>984</v>
      </c>
      <c r="BD17" s="136">
        <f t="shared" ref="BD17:BD22" si="12">IF(ISNUMBER(BA17/AZ17),BA17/AZ17," - ")</f>
        <v>1.0340236686390532</v>
      </c>
      <c r="BE17" s="137">
        <f t="shared" ref="BE17:BE22" si="13">IF(ISNUMBER(BB17/BA17),BB17/BA17, " - ")</f>
        <v>0.15116833571769195</v>
      </c>
      <c r="BF17" s="137">
        <f t="shared" ref="BF17:BF22" si="14">IF(ISNUMBER(BC17/BA17),BC17/BA17, " - ")</f>
        <v>0.15641392465426801</v>
      </c>
      <c r="BG17" s="209">
        <f t="shared" si="11"/>
        <v>1.1491018915911619</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171</v>
      </c>
      <c r="J18" s="196">
        <v>1098</v>
      </c>
      <c r="K18" s="196">
        <v>1123</v>
      </c>
      <c r="L18" s="196">
        <v>153</v>
      </c>
      <c r="M18" s="196">
        <v>46</v>
      </c>
      <c r="N18" s="196">
        <v>603</v>
      </c>
      <c r="O18" s="196">
        <v>3</v>
      </c>
      <c r="P18" s="196">
        <v>5</v>
      </c>
      <c r="Q18" s="196">
        <v>9</v>
      </c>
      <c r="R18" s="196">
        <v>0</v>
      </c>
      <c r="S18" s="196">
        <v>233</v>
      </c>
      <c r="T18" s="196">
        <v>944</v>
      </c>
      <c r="U18" s="196">
        <v>1017</v>
      </c>
      <c r="V18" s="196">
        <v>171</v>
      </c>
      <c r="W18" s="196">
        <v>65</v>
      </c>
      <c r="X18" s="202">
        <v>532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233</v>
      </c>
      <c r="AZ18" s="139">
        <f t="shared" si="15"/>
        <v>944</v>
      </c>
      <c r="BA18" s="139">
        <f t="shared" si="15"/>
        <v>1017</v>
      </c>
      <c r="BB18" s="139">
        <f t="shared" si="15"/>
        <v>171</v>
      </c>
      <c r="BC18" s="135">
        <f>IF(ISNUMBER(W18),W18," - ")</f>
        <v>65</v>
      </c>
      <c r="BD18" s="136">
        <f>IF(ISNUMBER(BA18/AZ18),BA18/AZ18," - ")</f>
        <v>1.0773305084745763</v>
      </c>
      <c r="BE18" s="137">
        <f>IF(ISNUMBER(BB18/BA18),BB18/BA18, " - ")</f>
        <v>0.16814159292035399</v>
      </c>
      <c r="BF18" s="137">
        <f>IF(ISNUMBER(BC18/BA18),BC18/BA18, " - ")</f>
        <v>6.3913470993117005E-2</v>
      </c>
      <c r="BG18" s="209">
        <f>IF(ISNUMBER((AY18+AZ18)/BA18),(AY18+AZ18)/BA18," - ")</f>
        <v>1.1573254670599804</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1122</v>
      </c>
      <c r="J23" s="197">
        <f t="shared" si="21"/>
        <v>7950</v>
      </c>
      <c r="K23" s="197">
        <f t="shared" si="21"/>
        <v>7953</v>
      </c>
      <c r="L23" s="197">
        <f t="shared" si="21"/>
        <v>1221</v>
      </c>
      <c r="M23" s="197">
        <f t="shared" si="21"/>
        <v>923</v>
      </c>
      <c r="N23" s="197">
        <f t="shared" si="21"/>
        <v>4893</v>
      </c>
      <c r="O23" s="197">
        <f t="shared" si="21"/>
        <v>118</v>
      </c>
      <c r="P23" s="197">
        <f t="shared" si="21"/>
        <v>264</v>
      </c>
      <c r="Q23" s="197">
        <f t="shared" si="21"/>
        <v>302</v>
      </c>
      <c r="R23" s="197">
        <f t="shared" si="21"/>
        <v>263</v>
      </c>
      <c r="S23" s="197">
        <f t="shared" si="21"/>
        <v>1378</v>
      </c>
      <c r="T23" s="197">
        <f t="shared" si="21"/>
        <v>7028</v>
      </c>
      <c r="U23" s="197">
        <f t="shared" si="21"/>
        <v>7308</v>
      </c>
      <c r="V23" s="197">
        <f t="shared" si="21"/>
        <v>1122</v>
      </c>
      <c r="W23" s="197">
        <f t="shared" si="21"/>
        <v>1049</v>
      </c>
      <c r="X23" s="197">
        <f t="shared" si="21"/>
        <v>4300</v>
      </c>
      <c r="Y23" s="197">
        <f t="shared" si="21"/>
        <v>0</v>
      </c>
      <c r="Z23" s="197">
        <f t="shared" si="21"/>
        <v>0</v>
      </c>
      <c r="AA23" s="197">
        <f t="shared" si="21"/>
        <v>0</v>
      </c>
      <c r="AB23" s="197">
        <f t="shared" si="21"/>
        <v>0</v>
      </c>
      <c r="AC23" s="197">
        <f t="shared" si="21"/>
        <v>0</v>
      </c>
      <c r="AD23" s="197">
        <f t="shared" si="21"/>
        <v>49</v>
      </c>
      <c r="AE23" s="197">
        <f t="shared" si="21"/>
        <v>49</v>
      </c>
      <c r="AF23" s="197">
        <f t="shared" si="21"/>
        <v>0</v>
      </c>
      <c r="AG23" s="197">
        <f t="shared" si="21"/>
        <v>0</v>
      </c>
      <c r="AH23" s="197">
        <f t="shared" si="21"/>
        <v>0</v>
      </c>
      <c r="AI23" s="197">
        <f t="shared" si="21"/>
        <v>0</v>
      </c>
      <c r="AJ23" s="197">
        <f t="shared" si="21"/>
        <v>0</v>
      </c>
      <c r="AK23" s="197">
        <f t="shared" si="21"/>
        <v>18</v>
      </c>
      <c r="AL23" s="197">
        <f t="shared" si="21"/>
        <v>38</v>
      </c>
      <c r="AM23" s="197">
        <f t="shared" si="21"/>
        <v>37</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1378</v>
      </c>
      <c r="AZ23" s="197">
        <f>SUBTOTAL(9,AZ15:AZ22)</f>
        <v>7028</v>
      </c>
      <c r="BA23" s="197">
        <f>SUBTOTAL(9,BA15:BA22)</f>
        <v>7308</v>
      </c>
      <c r="BB23" s="197">
        <f>SUBTOTAL(9,BB15:BB22)</f>
        <v>1122</v>
      </c>
      <c r="BC23" s="197">
        <f>SUBTOTAL(9,BC15:BC22)</f>
        <v>1049</v>
      </c>
      <c r="BD23" s="219">
        <f>IF(ISNUMBER(BA23/AZ23),BA23/AZ23," - ")</f>
        <v>1.0398406374501992</v>
      </c>
      <c r="BE23" s="220">
        <f>IF(ISNUMBER(BB23/BA23),BB23/BA23, " - ")</f>
        <v>0.15353037766830871</v>
      </c>
      <c r="BF23" s="220">
        <f>IF(ISNUMBER(BC23/BA23),BC23/BA23, " - ")</f>
        <v>0.14354132457580734</v>
      </c>
      <c r="BG23" s="221">
        <f>IF(ISNUMBER((AY23+AZ23)/BA23),(AY23+AZ23)/BA23," - ")</f>
        <v>1.1502463054187193</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4706</v>
      </c>
      <c r="J31" s="144">
        <f t="shared" si="36"/>
        <v>17022</v>
      </c>
      <c r="K31" s="144">
        <f t="shared" si="36"/>
        <v>16653</v>
      </c>
      <c r="L31" s="144">
        <f t="shared" si="36"/>
        <v>5030</v>
      </c>
      <c r="M31" s="144">
        <f t="shared" si="36"/>
        <v>2739</v>
      </c>
      <c r="N31" s="144">
        <f t="shared" si="36"/>
        <v>9104</v>
      </c>
      <c r="O31" s="144">
        <f t="shared" si="36"/>
        <v>3814</v>
      </c>
      <c r="P31" s="144">
        <f t="shared" si="36"/>
        <v>2563</v>
      </c>
      <c r="Q31" s="144">
        <f t="shared" si="36"/>
        <v>3023</v>
      </c>
      <c r="R31" s="144">
        <f t="shared" si="36"/>
        <v>8576</v>
      </c>
      <c r="S31" s="144">
        <f t="shared" si="36"/>
        <v>5163</v>
      </c>
      <c r="T31" s="144">
        <f t="shared" si="36"/>
        <v>14548</v>
      </c>
      <c r="U31" s="144">
        <f t="shared" si="36"/>
        <v>14909</v>
      </c>
      <c r="V31" s="144">
        <f t="shared" si="36"/>
        <v>4706</v>
      </c>
      <c r="W31" s="144">
        <f t="shared" si="36"/>
        <v>2763</v>
      </c>
      <c r="X31" s="144">
        <f t="shared" si="36"/>
        <v>7744</v>
      </c>
      <c r="Y31" s="144">
        <f t="shared" si="36"/>
        <v>173</v>
      </c>
      <c r="Z31" s="144">
        <f t="shared" si="36"/>
        <v>640</v>
      </c>
      <c r="AA31" s="144">
        <f t="shared" si="36"/>
        <v>630</v>
      </c>
      <c r="AB31" s="144">
        <f t="shared" si="36"/>
        <v>160</v>
      </c>
      <c r="AC31" s="144">
        <f t="shared" si="36"/>
        <v>0</v>
      </c>
      <c r="AD31" s="144">
        <f t="shared" si="36"/>
        <v>49</v>
      </c>
      <c r="AE31" s="144">
        <f t="shared" si="36"/>
        <v>49</v>
      </c>
      <c r="AF31" s="144">
        <f t="shared" si="36"/>
        <v>0</v>
      </c>
      <c r="AG31" s="144">
        <f t="shared" si="36"/>
        <v>167</v>
      </c>
      <c r="AH31" s="144">
        <f t="shared" si="36"/>
        <v>636</v>
      </c>
      <c r="AI31" s="144">
        <f t="shared" si="36"/>
        <v>618</v>
      </c>
      <c r="AJ31" s="144">
        <f t="shared" si="36"/>
        <v>173</v>
      </c>
      <c r="AK31" s="144">
        <f t="shared" si="36"/>
        <v>18</v>
      </c>
      <c r="AL31" s="144">
        <f t="shared" si="36"/>
        <v>38</v>
      </c>
      <c r="AM31" s="144">
        <f t="shared" si="36"/>
        <v>37</v>
      </c>
      <c r="AN31" s="224">
        <f t="shared" si="36"/>
        <v>0</v>
      </c>
      <c r="AO31" s="225">
        <v>9</v>
      </c>
      <c r="AP31" s="225">
        <v>8</v>
      </c>
      <c r="AQ31" s="225">
        <v>8</v>
      </c>
      <c r="AR31" s="225">
        <v>8</v>
      </c>
      <c r="AS31" s="166">
        <f t="shared" si="36"/>
        <v>0</v>
      </c>
      <c r="AT31" s="166">
        <f t="shared" si="36"/>
        <v>0</v>
      </c>
      <c r="AU31" s="225"/>
      <c r="AV31" s="226"/>
      <c r="AW31" s="225"/>
      <c r="AX31" s="226"/>
      <c r="AY31" s="143">
        <f>SUBTOTAL(9,AY9:AY30)</f>
        <v>5330</v>
      </c>
      <c r="AZ31" s="144">
        <f>SUBTOTAL(9,AZ9:AZ30)</f>
        <v>15184</v>
      </c>
      <c r="BA31" s="144">
        <f>SUBTOTAL(9,BA9:BA30)</f>
        <v>15527</v>
      </c>
      <c r="BB31" s="144">
        <f>SUBTOTAL(9,BB9:BB30)</f>
        <v>4879</v>
      </c>
      <c r="BC31" s="145">
        <f>SUBTOTAL(9,BC9:BC30)</f>
        <v>4486</v>
      </c>
      <c r="BD31" s="227">
        <f>IF(ISNUMBER(BA31/AZ31),BA31/AZ31," - ")</f>
        <v>1.0225895679662802</v>
      </c>
      <c r="BE31" s="224">
        <f>IF(ISNUMBER(BB31/BA31),BB31/BA31, " - ")</f>
        <v>0.31422683068203772</v>
      </c>
      <c r="BF31" s="224">
        <f>IF(ISNUMBER(BC31/BA31),BC31/BA31, " - ")</f>
        <v>0.28891608166419785</v>
      </c>
      <c r="BG31" s="145">
        <f>IF(ISNUMBER((AY31+AZ31)/BA31),(AY31+AZ31)/BA31," - ")</f>
        <v>1.3211824563663297</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mlIsIo1XDATHiZgmHa3Vod4t6GuGn+ceuM9lRMDI5D+7yt49gaczeEPokPcI1PnKiN5TVGsxgFynm/91w+4yQ==" saltValue="3LsT8l9cQdwOdIp9bCAUj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RcuQV8Jq2cj3AhoR7D5t0Ztidlq8jnQRGgkb3llkKbzNqwXIb+BgL9b7O43p4PN1LlWEVO+/HFb0+44JF1Hog==" saltValue="/giKLokL2GaLmz500nN5y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PARLA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57</v>
      </c>
      <c r="G10" s="543">
        <f>IF(ISNUMBER(Datos!I10),Datos!I10," - ")</f>
        <v>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143</v>
      </c>
      <c r="AC10" s="547">
        <f>IF(ISNUMBER(Datos!Q10),Datos!Q10," - ")</f>
        <v>50</v>
      </c>
      <c r="AD10" s="549"/>
      <c r="AE10" s="563"/>
      <c r="AF10" s="551">
        <f>IF(ISNUMBER(Datos!L10),Datos!L10,"-")</f>
        <v>82</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42</v>
      </c>
      <c r="BD10" s="693">
        <f>IF(ISNUMBER(Datos!N10),Datos!N10," - ")</f>
        <v>59</v>
      </c>
      <c r="BE10" s="693" t="str">
        <f>IF(ISNUMBER(Datos!BW10),Datos!BW10," - ")</f>
        <v xml:space="preserve"> - </v>
      </c>
      <c r="BF10" s="762" t="str">
        <f>IF(ISNUMBER(Datos!BX10),Datos!BX10," - ")</f>
        <v xml:space="preserve"> - </v>
      </c>
      <c r="BG10" s="763">
        <f>IF(ISNUMBER(Datos!K10/Datos!J10),Datos!K10/Datos!J10," - ")</f>
        <v>0.85119047619047616</v>
      </c>
      <c r="BH10" s="764">
        <f>IF(ISNUMBER(((Datos!L10/Datos!K10)*11)/factor_trimestre),((Datos!L10/Datos!K10)*11)/factor_trimestre," - ")</f>
        <v>6.3076923076923075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640</v>
      </c>
      <c r="O12" s="549"/>
      <c r="P12" s="549"/>
      <c r="Q12" s="547">
        <f>IF(ISNUMBER(Datos!P12),Datos!P12,0)</f>
        <v>2267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160</v>
      </c>
      <c r="AI12" s="549" t="str">
        <f>IF(ISNUMBER(Datos!CD12),Datos!CD12,"-")</f>
        <v>-</v>
      </c>
      <c r="AJ12" s="549" t="str">
        <f>IF(ISNUMBER(Datos!EN12),Datos!EN12," - ")</f>
        <v xml:space="preserve"> - </v>
      </c>
      <c r="AK12" s="549"/>
      <c r="AL12" s="550"/>
      <c r="AM12" s="766">
        <f>IF(ISNUMBER(Datos!R12),Datos!R12," - ")</f>
        <v>8286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1774</v>
      </c>
      <c r="BD12" s="693">
        <f>IF(ISNUMBER(Datos!N12),Datos!N12," - ")</f>
        <v>4152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0.9625943000838223</v>
      </c>
      <c r="BH12" s="764">
        <f>IF(ISNUMBER(((IF(J_V="SI",Datos!L12/Datos!K12,(Datos!L12+Datos!AB12)/(Datos!K12+Datos!AA12)))*11)/factor_trimestre),((IF(J_V="SI",Datos!L12/Datos!K12,(Datos!L12+Datos!AB12)/(Datos!K12+Datos!AA12)))*11)/factor_trimestre," - ")</f>
        <v>4.6540764123217588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-4.6490218642117373E-2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57</v>
      </c>
      <c r="G14" s="1197">
        <f t="shared" si="1"/>
        <v>57</v>
      </c>
      <c r="H14" s="1198">
        <f t="shared" si="1"/>
        <v>0</v>
      </c>
      <c r="I14" s="1197">
        <f t="shared" si="1"/>
        <v>0</v>
      </c>
      <c r="J14" s="1164">
        <f t="shared" si="1"/>
        <v>0</v>
      </c>
      <c r="K14" s="1164">
        <f t="shared" si="1"/>
        <v>0</v>
      </c>
      <c r="L14" s="1198">
        <f t="shared" si="1"/>
        <v>0</v>
      </c>
      <c r="M14" s="1198">
        <f t="shared" si="1"/>
        <v>0</v>
      </c>
      <c r="N14" s="1198">
        <f t="shared" si="1"/>
        <v>640</v>
      </c>
      <c r="O14" s="1199">
        <f t="shared" si="1"/>
        <v>0</v>
      </c>
      <c r="P14" s="1199">
        <f t="shared" si="1"/>
        <v>0</v>
      </c>
      <c r="Q14" s="1198">
        <f t="shared" si="1"/>
        <v>2299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143</v>
      </c>
      <c r="AC14" s="1198">
        <f t="shared" si="2"/>
        <v>2721</v>
      </c>
      <c r="AD14" s="1198">
        <f t="shared" si="2"/>
        <v>0</v>
      </c>
      <c r="AE14" s="1198">
        <f t="shared" si="2"/>
        <v>0</v>
      </c>
      <c r="AF14" s="1198">
        <f t="shared" si="2"/>
        <v>82</v>
      </c>
      <c r="AG14" s="1198">
        <f t="shared" si="2"/>
        <v>0</v>
      </c>
      <c r="AH14" s="1198">
        <f t="shared" si="2"/>
        <v>160</v>
      </c>
      <c r="AI14" s="1198">
        <f t="shared" si="2"/>
        <v>0</v>
      </c>
      <c r="AJ14" s="1198">
        <f t="shared" si="2"/>
        <v>0</v>
      </c>
      <c r="AK14" s="1198">
        <f t="shared" si="2"/>
        <v>0</v>
      </c>
      <c r="AL14" s="1198">
        <f t="shared" si="2"/>
        <v>0</v>
      </c>
      <c r="AM14" s="1198">
        <f t="shared" si="2"/>
        <v>8313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1816</v>
      </c>
      <c r="BD14" s="1198">
        <f t="shared" si="2"/>
        <v>4211</v>
      </c>
      <c r="BE14" s="1198">
        <f t="shared" si="2"/>
        <v>0</v>
      </c>
      <c r="BF14" s="1198">
        <f t="shared" si="2"/>
        <v>0</v>
      </c>
      <c r="BG14" s="1198">
        <f>IF(ISNUMBER(Datos!K14/Datos!J14),Datos!K14/Datos!J14," - ")</f>
        <v>0.95899470899470896</v>
      </c>
      <c r="BH14" s="1202">
        <f>IF(ISNUMBER(((Datos!L14/Datos!K14)*11)/factor_trimestre),((Datos!L14/Datos!K14)*11)/factor_trimestre," - ")</f>
        <v>4.8159770114942528</v>
      </c>
      <c r="BI14" s="1198">
        <f>IF(ISNUMBER('Resol  Asuntos'!D14/NºAsuntos!G14),'Resol  Asuntos'!D14/NºAsuntos!G14," - ")</f>
        <v>0.19464094319399786</v>
      </c>
      <c r="BJ14" s="1198" t="str">
        <f>IF(ISNUMBER(Datos!CI14/Datos!CJ14),Datos!CI14/Datos!CJ14," - ")</f>
        <v xml:space="preserve"> - </v>
      </c>
      <c r="BK14" s="1198">
        <f>SUBTOTAL(9,BK8:BK13)</f>
        <v>0</v>
      </c>
      <c r="BL14" s="1198">
        <f>IF(ISNUMBER((I14-AB14+L14)/(F14)),(I14-AB14+L14)/(F14)," - ")</f>
        <v>-2.5087719298245612</v>
      </c>
      <c r="BM14" s="1203">
        <f>SUBTOTAL(9,BM9:BM13)</f>
        <v>-0.44649021864211741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1046</v>
      </c>
      <c r="G17" s="743">
        <f>IF(ISNUMBER(IF(D_I="SI",Datos!I17,Datos!I17+Datos!AC17)),IF(D_I="SI",Datos!I17,Datos!I17+Datos!AC17)," - ")</f>
        <v>951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6830</v>
      </c>
      <c r="AC17" s="240">
        <f>IF(ISNUMBER(Datos!Q17),Datos!Q17," - ")</f>
        <v>293</v>
      </c>
      <c r="AD17" s="374"/>
      <c r="AE17" s="562"/>
      <c r="AF17" s="741">
        <f>IF(ISNUMBER(IF(D_I="SI",Datos!L17,Datos!L17+Datos!AF17)),IF(D_I="SI",Datos!L17,Datos!L17+Datos!AF17)," - ")</f>
        <v>1068</v>
      </c>
      <c r="AG17" s="374"/>
      <c r="AH17" s="374"/>
      <c r="AI17" s="374"/>
      <c r="AJ17" s="549"/>
      <c r="AK17" s="374"/>
      <c r="AL17" s="545"/>
      <c r="AM17" s="375">
        <f>IF(ISNUMBER(Datos!R17),Datos!R17," - ")</f>
        <v>263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877</v>
      </c>
      <c r="BD17" s="243">
        <f>IF(ISNUMBER(Datos!N17),Datos!N17," - ")</f>
        <v>4290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0.99678925861062462</v>
      </c>
      <c r="BH17" s="764">
        <f>IF(ISNUMBER(((IF(D_I="SI",Datos!L17/Datos!K17,(Datos!L17+Datos!AF17)/(Datos!K17+Datos!AE17)))*11)/factor_trimestre),((IF(D_I="SI",Datos!L17/Datos!K17,(Datos!L17+Datos!AF17)/(Datos!K17+Datos!AE17)))*11)/factor_trimestre," - ")</f>
        <v>1.7200585651537335</v>
      </c>
      <c r="BI17" s="266">
        <f>IF(ISNUMBER('Resol  Asuntos'!D17/NºAsuntos!G17),'Resol  Asuntos'!D17/NºAsuntos!G17," - ")</f>
        <v>0.12840409956076135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171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1123</v>
      </c>
      <c r="AC18" s="547">
        <f>IF(ISNUMBER(Datos!Q18),Datos!Q18," - ")</f>
        <v>9</v>
      </c>
      <c r="AD18" s="549"/>
      <c r="AE18" s="562"/>
      <c r="AF18" s="551">
        <f>IF(ISNUMBER(Datos!L18),Datos!L18,"-")</f>
        <v>153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46</v>
      </c>
      <c r="BD18" s="693">
        <f>IF(ISNUMBER(Datos!N18),Datos!N18," - ")</f>
        <v>603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1.0227686703096539</v>
      </c>
      <c r="BH18" s="764">
        <f>IF(ISNUMBER(((IF(D_I="SI",Datos!L18/Datos!K18,(Datos!L18+Datos!AF18)/(Datos!K18+Datos!AE18)))*11)/factor_trimestre),((IF(D_I="SI",Datos!L18/Datos!K18,(Datos!L18+Datos!AF18)/(Datos!K18+Datos!AE18)))*11)/factor_trimestre," - ")</f>
        <v>1.4986642920747997</v>
      </c>
      <c r="BI18" s="763">
        <f>IF(ISNUMBER('Resol  Asuntos'!D18/NºAsuntos!G18),'Resol  Asuntos'!D18/NºAsuntos!G18," - ")</f>
        <v>4.0961709706144253E-2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1046</v>
      </c>
      <c r="G23" s="1197">
        <f>SUBTOTAL(9,G16:G22)</f>
        <v>1122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7953</v>
      </c>
      <c r="AC23" s="1198">
        <f t="shared" si="5"/>
        <v>302</v>
      </c>
      <c r="AD23" s="1198">
        <f t="shared" si="5"/>
        <v>0</v>
      </c>
      <c r="AE23" s="1198">
        <f t="shared" si="5"/>
        <v>0</v>
      </c>
      <c r="AF23" s="1198">
        <f t="shared" si="5"/>
        <v>1221</v>
      </c>
      <c r="AG23" s="1198">
        <f t="shared" si="5"/>
        <v>0</v>
      </c>
      <c r="AH23" s="1198">
        <f t="shared" si="5"/>
        <v>0</v>
      </c>
      <c r="AI23" s="1198">
        <f t="shared" si="5"/>
        <v>0</v>
      </c>
      <c r="AJ23" s="1198">
        <f t="shared" si="5"/>
        <v>0</v>
      </c>
      <c r="AK23" s="1198">
        <f t="shared" si="5"/>
        <v>0</v>
      </c>
      <c r="AL23" s="1198">
        <f t="shared" si="5"/>
        <v>0</v>
      </c>
      <c r="AM23" s="1198">
        <f t="shared" si="5"/>
        <v>263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923</v>
      </c>
      <c r="BD23" s="1198">
        <f t="shared" si="5"/>
        <v>4893</v>
      </c>
      <c r="BE23" s="1198">
        <f t="shared" si="5"/>
        <v>0</v>
      </c>
      <c r="BF23" s="1198">
        <f t="shared" si="5"/>
        <v>0</v>
      </c>
      <c r="BG23" s="1198">
        <f>IF(ISNUMBER(Datos!K23/Datos!J23),Datos!K23/Datos!J23," - ")</f>
        <v>1.000377358490566</v>
      </c>
      <c r="BH23" s="1202">
        <f>IF(ISNUMBER(((Datos!L23/Datos!K23)*11)/factor_trimestre),((Datos!L23/Datos!K23)*11)/factor_trimestre," - ")</f>
        <v>1.6887966804979255</v>
      </c>
      <c r="BI23" s="1198">
        <f>SUBTOTAL(9,BI16:BI22)</f>
        <v>0.16936580926690559</v>
      </c>
      <c r="BJ23" s="1198">
        <f>SUBTOTAL(9,BJ16:BJ22)</f>
        <v>0</v>
      </c>
      <c r="BK23" s="1198">
        <f>SUBTOTAL(9,BK16:BK22)</f>
        <v>0</v>
      </c>
      <c r="BL23" s="1198">
        <f>IF(ISNUMBER((I23-AB23+L23)/(F23)),(I23-AB23+L23)/(F23)," - ")</f>
        <v>-7.6032504780114722</v>
      </c>
      <c r="BM23" s="1205">
        <f>IF(ISNUMBER((Datos!P23-Datos!Q23)/(Datos!R23-Datos!P23+Datos!Q23)),(Datos!P23-Datos!Q23)/(Datos!R23-Datos!P23+Datos!Q23)," - ")</f>
        <v>-0.12624584717607973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1103</v>
      </c>
      <c r="G31" s="1117">
        <f t="shared" si="18"/>
        <v>1179</v>
      </c>
      <c r="H31" s="1119">
        <f t="shared" si="18"/>
        <v>0</v>
      </c>
      <c r="I31" s="1117">
        <f t="shared" si="18"/>
        <v>0</v>
      </c>
      <c r="J31" s="1119">
        <f t="shared" si="18"/>
        <v>0</v>
      </c>
      <c r="K31" s="1119">
        <f t="shared" si="18"/>
        <v>0</v>
      </c>
      <c r="L31" s="1180">
        <f t="shared" si="18"/>
        <v>0</v>
      </c>
      <c r="M31" s="1180">
        <f t="shared" si="18"/>
        <v>0</v>
      </c>
      <c r="N31" s="1180">
        <f t="shared" si="18"/>
        <v>640</v>
      </c>
      <c r="O31" s="1180">
        <f t="shared" si="18"/>
        <v>0</v>
      </c>
      <c r="P31" s="1180">
        <f t="shared" si="18"/>
        <v>0</v>
      </c>
      <c r="Q31" s="1119">
        <f t="shared" si="18"/>
        <v>2563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8096</v>
      </c>
      <c r="AC31" s="1118">
        <f t="shared" si="19"/>
        <v>3023</v>
      </c>
      <c r="AD31" s="1118">
        <f t="shared" si="19"/>
        <v>0</v>
      </c>
      <c r="AE31" s="1118">
        <f t="shared" si="19"/>
        <v>0</v>
      </c>
      <c r="AF31" s="1125">
        <f t="shared" si="19"/>
        <v>1303</v>
      </c>
      <c r="AG31" s="1125">
        <f t="shared" si="19"/>
        <v>0</v>
      </c>
      <c r="AH31" s="1125">
        <f t="shared" si="19"/>
        <v>160</v>
      </c>
      <c r="AI31" s="1125">
        <f t="shared" si="19"/>
        <v>0</v>
      </c>
      <c r="AJ31" s="1118">
        <f t="shared" si="19"/>
        <v>0</v>
      </c>
      <c r="AK31" s="1125">
        <f t="shared" si="19"/>
        <v>0</v>
      </c>
      <c r="AL31" s="1125">
        <f t="shared" si="19"/>
        <v>0</v>
      </c>
      <c r="AM31" s="1125">
        <f t="shared" si="19"/>
        <v>8576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2739</v>
      </c>
      <c r="BD31" s="1117">
        <f t="shared" si="19"/>
        <v>9104</v>
      </c>
      <c r="BE31" s="1117">
        <f t="shared" si="19"/>
        <v>0</v>
      </c>
      <c r="BF31" s="1127">
        <f t="shared" si="19"/>
        <v>0</v>
      </c>
      <c r="BG31" s="1223">
        <f>IF(ISNUMBER(Datos!K31/Datos!J31),Datos!K31/Datos!J31," - ")</f>
        <v>0.97832217130771937</v>
      </c>
      <c r="BH31" s="1223">
        <f>IF(ISNUMBER(((Datos!L31/Datos!K31)*11)/factor_trimestre),((Datos!L31/Datos!K31)*11)/factor_trimestre," - ")</f>
        <v>3.3225244700654537</v>
      </c>
      <c r="BI31" s="1103">
        <f>IF(ISNUMBER(Datos!J31/Datos!I31),Datos!J31/Datos!I31," - ")</f>
        <v>3.6170845728856778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-7.3399818676337265</v>
      </c>
      <c r="BM31" s="1188">
        <f>IF(ISNUMBER((Datos!P31-Datos!Q31+R31)/(Datos!R31-Datos!P31+Datos!Q31-R31)),(Datos!P31-Datos!Q31+R31)/(Datos!R31-Datos!P31+Datos!Q31-R31)," - ")</f>
        <v>-5.090748118636565E-2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526.05272232606751</v>
      </c>
      <c r="G33" s="674">
        <f>IF(ISNUMBER(STDEV(G8:G30)),STDEV(G8:G30),"-")</f>
        <v>483.85859799857116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3505.8695273579624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785.47615222505999</v>
      </c>
      <c r="BD33" s="673"/>
      <c r="BE33" s="673">
        <f>IF(ISNUMBER(STDEV(BE8:BE30)),STDEV(BE8:BE30),"-")</f>
        <v>0</v>
      </c>
      <c r="BF33" s="678">
        <f>IF(ISNUMBER(STDEV(BF8:BF30)),STDEV(BF8:BF30),"-")</f>
        <v>0</v>
      </c>
      <c r="BG33" s="1052">
        <f>IF(ISNUMBER(STDEV(BG8:BG30)),STDEV(BG8:BG30),"-")</f>
        <v>6.0979609733484354E-2</v>
      </c>
      <c r="BH33" s="1058">
        <f>IF(ISNUMBER(STDEV(BH8:BH30)),STDEV(BH8:BH30),"-")</f>
        <v>2.0680574406118142</v>
      </c>
      <c r="BI33" s="273">
        <f>IF(ISNUMBER(STDEV(BI8:BI30)),STDEV(BI8:BI30),"-")</f>
        <v>6.7364125371303013E-2</v>
      </c>
      <c r="BJ33" s="244" t="str">
        <f>IF(ISNUMBER(BL33/BM33),BL33/BM33," - ")</f>
        <v xml:space="preserve"> - </v>
      </c>
      <c r="BK33" s="709"/>
      <c r="BL33" s="681">
        <f>IF(ISNUMBER(STDEV(BL8:BL30)),STDEV(BL8:BL30),"-")</f>
        <v>3.602340328032362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6NoCPZnxYesL3OX+vn4g0eNv7DG2OFQBtLA0WUV3Ik9qmk4zdXY1+7bnHBuKLw1NVIDsvoIivwi/tkFlLr1TTw==" saltValue="wq6t0sCJU/uqs+H8XdDd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PARLA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57</v>
      </c>
      <c r="G10" s="552">
        <f>IF(ISNUMBER(Datos!I10),Datos!I10," - ")</f>
        <v>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143</v>
      </c>
      <c r="Z10" s="805">
        <f>IF(ISNUMBER(Datos!Q10),Datos!Q10," - ")</f>
        <v>50</v>
      </c>
      <c r="AA10" s="551">
        <f>IF(ISNUMBER(Datos!L10),Datos!L10,"-")</f>
        <v>82</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42</v>
      </c>
      <c r="AK10" s="693">
        <f>IF(ISNUMBER(Datos!N10),Datos!N10," - ")</f>
        <v>59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6.3076923076923075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2671</v>
      </c>
      <c r="AA12" s="551" t="str">
        <f>IF(ISNUMBER(IF(J_V="SI",Datos!L12,Datos!L12+Datos!AB12)-IF(Monitorios="SI",Datos!CD12,0)),
                          IF(J_V="SI",Datos!L12,Datos!L12+Datos!AB12)-IF(Monitorios="SI",Datos!CD12,0),
                          " - ")</f>
        <v xml:space="preserve"> - </v>
      </c>
      <c r="AB12" s="549"/>
      <c r="AC12" s="549"/>
      <c r="AD12" s="563"/>
      <c r="AE12" s="563">
        <f>IF(ISNUMBER(Datos!R12),Datos!R12," - ")</f>
        <v>8286</v>
      </c>
      <c r="AF12" s="693" t="str">
        <f>IF(ISNUMBER(Datos!BV12),Datos!BV12," - ")</f>
        <v xml:space="preserve"> - </v>
      </c>
      <c r="AG12" s="552" t="str">
        <f>IF(ISNUMBER(Datos!DV12),Datos!DV12," - ")</f>
        <v xml:space="preserve"> - </v>
      </c>
      <c r="AH12" s="553"/>
      <c r="AI12" s="554"/>
      <c r="AJ12" s="552">
        <f>IF(ISNUMBER(Datos!M12),Datos!M12," - ")</f>
        <v>1774</v>
      </c>
      <c r="AK12" s="693">
        <f>IF(ISNUMBER(Datos!N12),Datos!N12," - ")</f>
        <v>4152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4.6540764123217588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-4.6490218642117373E-2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57</v>
      </c>
      <c r="G14" s="1197">
        <f>SUBTOTAL(9,G8:G13)</f>
        <v>57</v>
      </c>
      <c r="H14" s="1211"/>
      <c r="I14" s="1197">
        <f t="shared" ref="I14:N14" si="1">SUBTOTAL(9,I8:I13)</f>
        <v>0</v>
      </c>
      <c r="J14" s="1164">
        <f t="shared" si="1"/>
        <v>0</v>
      </c>
      <c r="K14" s="1211">
        <f t="shared" si="1"/>
        <v>0</v>
      </c>
      <c r="L14" s="1211">
        <f t="shared" si="1"/>
        <v>0</v>
      </c>
      <c r="M14" s="1211">
        <f t="shared" si="1"/>
        <v>0</v>
      </c>
      <c r="N14" s="1211">
        <f t="shared" si="1"/>
        <v>2299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143</v>
      </c>
      <c r="Z14" s="1210">
        <f t="shared" si="3"/>
        <v>2721</v>
      </c>
      <c r="AA14" s="1199">
        <f t="shared" si="3"/>
        <v>82</v>
      </c>
      <c r="AB14" s="1199">
        <f t="shared" si="3"/>
        <v>0</v>
      </c>
      <c r="AC14" s="1199">
        <f t="shared" si="3"/>
        <v>0</v>
      </c>
      <c r="AD14" s="1199">
        <f t="shared" si="3"/>
        <v>0</v>
      </c>
      <c r="AE14" s="1199">
        <f t="shared" si="3"/>
        <v>8313</v>
      </c>
      <c r="AF14" s="1211">
        <f t="shared" si="3"/>
        <v>0</v>
      </c>
      <c r="AG14" s="1211">
        <f t="shared" si="3"/>
        <v>0</v>
      </c>
      <c r="AH14" s="1211">
        <f t="shared" si="3"/>
        <v>0</v>
      </c>
      <c r="AI14" s="1211">
        <f t="shared" si="3"/>
        <v>0</v>
      </c>
      <c r="AJ14" s="1211">
        <f t="shared" si="3"/>
        <v>1816</v>
      </c>
      <c r="AK14" s="1211">
        <f t="shared" si="3"/>
        <v>4211</v>
      </c>
      <c r="AL14" s="1211">
        <f t="shared" si="3"/>
        <v>0</v>
      </c>
      <c r="AM14" s="1211">
        <f t="shared" si="3"/>
        <v>0</v>
      </c>
      <c r="AN14" s="1211">
        <f t="shared" si="3"/>
        <v>0</v>
      </c>
      <c r="AO14" s="1203">
        <f>IF(ISNUMBER(((NºAsuntos!I14/NºAsuntos!G14)*11)/factor_trimestre),((NºAsuntos!I14/NºAsuntos!G14)*11)/factor_trimestre," - ")</f>
        <v>4.6794212218649518</v>
      </c>
      <c r="AP14" s="1213" t="str">
        <f>IF(ISNUMBER(Datos!CI14/Datos!CJ14),Datos!CI14/Datos!CJ14," - ")</f>
        <v xml:space="preserve"> - </v>
      </c>
      <c r="AQ14" s="1236">
        <f t="shared" ref="AQ14:AV14" si="4">SUBTOTAL(9,AQ9:AQ13)</f>
        <v>0</v>
      </c>
      <c r="AR14" s="1236">
        <f t="shared" si="4"/>
        <v>-0.44649021864211741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1046</v>
      </c>
      <c r="G17" s="552">
        <f>IF(ISNUMBER(IF(D_I="SI",Datos!I17,Datos!I17+Datos!AC17)),IF(D_I="SI",Datos!I17,Datos!I17+Datos!AC17)," - ")</f>
        <v>951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6830</v>
      </c>
      <c r="Z17" s="805">
        <f>IF(ISNUMBER(Datos!Q17),Datos!Q17," - ")</f>
        <v>293</v>
      </c>
      <c r="AA17" s="551">
        <f>IF(ISNUMBER(IF(D_I="SI",Datos!L17,Datos!L17+Datos!AF17)),IF(D_I="SI",Datos!L17,Datos!L17+Datos!AF17)," - ")</f>
        <v>1068</v>
      </c>
      <c r="AB17" s="549"/>
      <c r="AC17" s="549"/>
      <c r="AD17" s="563"/>
      <c r="AE17" s="563">
        <f>IF(ISNUMBER(Datos!R17),Datos!R17," - ")</f>
        <v>263</v>
      </c>
      <c r="AF17" s="693" t="str">
        <f>IF(ISNUMBER(Datos!BV17),Datos!BV17," - ")</f>
        <v xml:space="preserve"> - </v>
      </c>
      <c r="AG17" s="552"/>
      <c r="AH17" s="553"/>
      <c r="AI17" s="554"/>
      <c r="AJ17" s="552">
        <f>IF(ISNUMBER(Datos!M17),Datos!M17," - ")</f>
        <v>877</v>
      </c>
      <c r="AK17" s="693">
        <f>IF(ISNUMBER(Datos!N17),Datos!N17," - ")</f>
        <v>4290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1.7200585651537335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171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1123</v>
      </c>
      <c r="Z18" s="805">
        <f>IF(ISNUMBER(Datos!Q18),Datos!Q18," - ")</f>
        <v>9</v>
      </c>
      <c r="AA18" s="551">
        <f>IF(ISNUMBER(Datos!L18),Datos!L18,"-")</f>
        <v>153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46</v>
      </c>
      <c r="AK18" s="693">
        <f>IF(ISNUMBER(Datos!N18),Datos!N18," - ")</f>
        <v>603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1.4986642920747997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1046</v>
      </c>
      <c r="G23" s="1197">
        <f>SUBTOTAL(9,G16:G22)</f>
        <v>1122</v>
      </c>
      <c r="H23" s="1240">
        <f>SUBTOTAL(9,H16:H22)</f>
        <v>0</v>
      </c>
      <c r="I23" s="1217">
        <f>SUBTOTAL(9,I16:I22)</f>
        <v>0</v>
      </c>
      <c r="J23" s="1164">
        <f>SUBTOTAL(9,J15:J22)</f>
        <v>0</v>
      </c>
      <c r="K23" s="1240">
        <f t="shared" ref="K23:S23" si="5">SUBTOTAL(9,K16:K22)</f>
        <v>0</v>
      </c>
      <c r="L23" s="1240">
        <f t="shared" si="5"/>
        <v>0</v>
      </c>
      <c r="M23" s="1240">
        <f t="shared" si="5"/>
        <v>0</v>
      </c>
      <c r="N23" s="1240">
        <f t="shared" si="5"/>
        <v>264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7953</v>
      </c>
      <c r="Z23" s="1240">
        <f t="shared" si="6"/>
        <v>302</v>
      </c>
      <c r="AA23" s="1240">
        <f t="shared" si="6"/>
        <v>1221</v>
      </c>
      <c r="AB23" s="1240">
        <f t="shared" si="6"/>
        <v>0</v>
      </c>
      <c r="AC23" s="1240">
        <f t="shared" si="6"/>
        <v>0</v>
      </c>
      <c r="AD23" s="1240">
        <f t="shared" si="6"/>
        <v>0</v>
      </c>
      <c r="AE23" s="1240">
        <f t="shared" si="6"/>
        <v>263</v>
      </c>
      <c r="AF23" s="1240">
        <f t="shared" si="6"/>
        <v>0</v>
      </c>
      <c r="AG23" s="1240">
        <f t="shared" si="6"/>
        <v>0</v>
      </c>
      <c r="AH23" s="1240">
        <f t="shared" si="6"/>
        <v>0</v>
      </c>
      <c r="AI23" s="1240">
        <f t="shared" si="6"/>
        <v>0</v>
      </c>
      <c r="AJ23" s="1240">
        <f t="shared" si="6"/>
        <v>923</v>
      </c>
      <c r="AK23" s="1240">
        <f t="shared" si="6"/>
        <v>4893</v>
      </c>
      <c r="AL23" s="1240">
        <f t="shared" si="6"/>
        <v>0</v>
      </c>
      <c r="AM23" s="1240">
        <f t="shared" si="6"/>
        <v>0</v>
      </c>
      <c r="AN23" s="1240">
        <f t="shared" si="6"/>
        <v>0</v>
      </c>
      <c r="AO23" s="1242">
        <f>IF(ISNUMBER(((NºAsuntos!I23/NºAsuntos!G23)*11)/factor_trimestre),((NºAsuntos!I23/NºAsuntos!G23)*11)/factor_trimestre," - ")</f>
        <v>1.6887966804979255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1103</v>
      </c>
      <c r="G31" s="1117">
        <f t="shared" si="12"/>
        <v>1179</v>
      </c>
      <c r="H31" s="1118">
        <f t="shared" si="12"/>
        <v>0</v>
      </c>
      <c r="I31" s="1117">
        <f t="shared" si="12"/>
        <v>0</v>
      </c>
      <c r="J31" s="1119">
        <f t="shared" si="12"/>
        <v>0</v>
      </c>
      <c r="K31" s="1117">
        <f t="shared" si="12"/>
        <v>0</v>
      </c>
      <c r="L31" s="1120">
        <f t="shared" si="12"/>
        <v>0</v>
      </c>
      <c r="M31" s="1117">
        <f t="shared" si="12"/>
        <v>0</v>
      </c>
      <c r="N31" s="1118">
        <f t="shared" si="12"/>
        <v>2563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8096</v>
      </c>
      <c r="Z31" s="1124">
        <f t="shared" si="13"/>
        <v>3023</v>
      </c>
      <c r="AA31" s="1125">
        <f t="shared" si="13"/>
        <v>1303</v>
      </c>
      <c r="AB31" s="1125">
        <f t="shared" si="13"/>
        <v>0</v>
      </c>
      <c r="AC31" s="1125">
        <f t="shared" si="13"/>
        <v>0</v>
      </c>
      <c r="AD31" s="1126">
        <f t="shared" si="13"/>
        <v>0</v>
      </c>
      <c r="AE31" s="1126">
        <f t="shared" si="13"/>
        <v>8576</v>
      </c>
      <c r="AF31" s="1127">
        <f t="shared" si="13"/>
        <v>0</v>
      </c>
      <c r="AG31" s="1128">
        <f t="shared" si="13"/>
        <v>0</v>
      </c>
      <c r="AH31" s="1129">
        <f t="shared" si="13"/>
        <v>0</v>
      </c>
      <c r="AI31" s="1127">
        <f t="shared" si="13"/>
        <v>0</v>
      </c>
      <c r="AJ31" s="1117">
        <f t="shared" si="13"/>
        <v>2739</v>
      </c>
      <c r="AK31" s="1117">
        <f t="shared" si="13"/>
        <v>9104</v>
      </c>
      <c r="AL31" s="1117">
        <f t="shared" si="13"/>
        <v>0</v>
      </c>
      <c r="AM31" s="1130">
        <f t="shared" si="13"/>
        <v>0</v>
      </c>
      <c r="AN31" s="1120">
        <f>IF(ISNUMBER(Datos!K31/Datos!J31),Datos!K31/Datos!J31," - ")</f>
        <v>0.97832217130771937</v>
      </c>
      <c r="AO31" s="1120">
        <f>IF(ISNUMBER(FIND("06",Criterios!A8,1)),(IF(ISNUMBER(((Datos!R31/Datos!Q31)*11)/factor_trimestre),((Datos!R31/Datos!Q31)*11)/factor_trimestre," - ")),(IF(ISNUMBER(((Datos!L31/Datos!K31)*11)/factor_trimestre),((Datos!L31/Datos!K31)*11)/factor_trimestre," - ")))</f>
        <v>3.3225244700654537</v>
      </c>
      <c r="AP31" s="1131" t="str">
        <f>IF(ISNUMBER(Datos!CI31/Datos!CJ31),Datos!CI31/Datos!CJ31," - ")</f>
        <v xml:space="preserve"> - </v>
      </c>
      <c r="AQ31" s="1131">
        <f>IF(OR(ISNUMBER(FIND("01",Criterios!A8,1)),ISNUMBER(FIND("02",Criterios!A8,1)),ISNUMBER(FIND("03",Criterios!A8,1)),ISNUMBER(FIND("04",Criterios!A8,1))),(J31-Y31+K31)/(F31-K31),(I31-Y31+K31)/(F31-K31))</f>
        <v>-7.3399818676337265</v>
      </c>
      <c r="AR31" s="1131">
        <f>IF(ISNUMBER((Datos!P31-Datos!Q31+O31)/(Datos!R31-Datos!P31+Datos!Q31-O31)),(Datos!P31-Datos!Q31+O31)/(Datos!R31-Datos!P31+Datos!Q31-O31)," - ")</f>
        <v>-5.090748118636565E-2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526.05272232606751</v>
      </c>
      <c r="G33" s="674">
        <f>IF(ISNUMBER(STDEV(G8:G30)),STDEV(G8:G30),"-")</f>
        <v>483.85859799857116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785.47615222505999</v>
      </c>
      <c r="AK33" s="276"/>
      <c r="AL33" s="276">
        <f>IF(ISNUMBER(STDEV(AL8:AL30)),STDEV(AL8:AL30),"-")</f>
        <v>0</v>
      </c>
      <c r="AM33" s="278">
        <f>IF(ISNUMBER(STDEV(AM8:AM30)),STDEV(AM8:AM30),"-")</f>
        <v>0</v>
      </c>
      <c r="AN33" s="660">
        <f>IF(ISNUMBER(STDEV(AN8:AN30)),STDEV(AN8:AN30),"-")</f>
        <v>0</v>
      </c>
      <c r="AO33" s="661">
        <f>IF(ISNUMBER(STDEV(AO8:AO30)),STDEV(AO8:AO30),"-")</f>
        <v>2.05066392248846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ce3AOLSkuEuvUDr2K/QwazbK5oIYdIB2L+wad6hJEd8WHI3jenbezYabKcVheh/042GrwLoNQdoOGDw1Pygn1w==" saltValue="rvhTN+O3oWpqev/USuf+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UtytAcrLmcE0D6TZasNSmCYb8IWFz4so0DWaV/oMX3LmXUHjwc9b2l+4xaPiA4u59rMHcVEM1PYefUKBx/g==" saltValue="Y9BAviHx2EgEfe+xsGLu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Lsrd53VUxVKECYo3gpxvxpQVxPytAq7YJ+qMptmYYepHMXA/o2eMCFgtSsYff5dfCavh95IWw5hpNc5a/imrg==" saltValue="Ea40tj1tXj0B/lH/HV7CM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PARLA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0.19464094319399786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0.13763193082902148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2EKDCcYM9OyfkSQWCsPXIwHtFzspUXNIVIlENB03gbRxnLSKckMzAsaLI7l2nwh8j04m3SS642j6ufNLJD83KQ==" saltValue="+uHB1yzKHlsIpeAig1xIz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B9JxH8lueW1FR0DJFsvlwF0uwZhiTtw28ff7n7oYw2d90a1Ov4oCbzBMdz33/g0vx5+3EP3dRIbAf1J8BIhV1g==" saltValue="avTUrWxq9tDzzTqwJrCH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PARLA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57</v>
      </c>
      <c r="D10" s="452">
        <f>IF(ISNUMBER(C10/Datos!BH10),C10/Datos!BH10," - ")</f>
        <v>28.5</v>
      </c>
      <c r="E10" s="451">
        <f>IF(ISNUMBER(Datos!J10),Datos!J10," - ")</f>
        <v>168</v>
      </c>
      <c r="F10" s="452">
        <f>IF(ISNUMBER(E10/B10),E10/B10," - ")</f>
        <v>84</v>
      </c>
      <c r="G10" s="451">
        <f>IF(ISNUMBER(Datos!K10),Datos!K10," - ")</f>
        <v>143</v>
      </c>
      <c r="H10" s="452">
        <f>IF(ISNUMBER(G10/B10),G10/B10," - ")</f>
        <v>71.5</v>
      </c>
      <c r="I10" s="451">
        <f>IF(ISNUMBER(Datos!L10),Datos!L10," - ")</f>
        <v>82</v>
      </c>
      <c r="J10" s="452">
        <f>IF(ISNUMBER(I10/B10),I10/B10," - ")</f>
        <v>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3700</v>
      </c>
      <c r="D12" s="452">
        <f>IF(ISNUMBER(C12/Datos!BH12),C12/Datos!BH12," - ")</f>
        <v>528.57142857142856</v>
      </c>
      <c r="E12" s="451">
        <f>IF(ISNUMBER(IF(J_V="SI",Datos!J12,Datos!J12+Datos!Z12)),IF(J_V="SI",Datos!J12,Datos!J12+Datos!Z12)," - ")</f>
        <v>9544</v>
      </c>
      <c r="F12" s="452">
        <f>IF(ISNUMBER(E12/B12),E12/B12," - ")</f>
        <v>1363.4285714285713</v>
      </c>
      <c r="G12" s="451">
        <f>IF(ISNUMBER(IF(J_V="SI",Datos!K12,Datos!K12+Datos!AA12)),IF(J_V="SI",Datos!K12,Datos!K12+Datos!AA12)," - ")</f>
        <v>9187</v>
      </c>
      <c r="H12" s="452">
        <f>IF(ISNUMBER(G12/B12),G12/B12," - ")</f>
        <v>1312.4285714285713</v>
      </c>
      <c r="I12" s="451">
        <f>IF(ISNUMBER(IF(J_V="SI",Datos!L12,Datos!L12+Datos!AB12)),IF(J_V="SI",Datos!L12,Datos!L12+Datos!AB12)," - ")</f>
        <v>3887</v>
      </c>
      <c r="J12" s="452">
        <f>IF(ISNUMBER(I12/B12),I12/B12," - ")</f>
        <v>555.28571428571433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3757</v>
      </c>
      <c r="D14" s="1147" t="str">
        <f>IF(ISNUMBER(C14/Datos!BI14),C14/Datos!BI14," - ")</f>
        <v xml:space="preserve"> - </v>
      </c>
      <c r="E14" s="1146">
        <f>SUBTOTAL(9,E8:E13)</f>
        <v>9712</v>
      </c>
      <c r="F14" s="1147">
        <f>IF(ISNUMBER(E14/B14),E14/B14," - ")</f>
        <v>1214</v>
      </c>
      <c r="G14" s="1146">
        <f>SUBTOTAL(9,G8:G13)</f>
        <v>9330</v>
      </c>
      <c r="H14" s="1147">
        <f>IF(ISNUMBER(G14/B14),G14/B14," - ")</f>
        <v>1166.25</v>
      </c>
      <c r="I14" s="1146">
        <f>SUBTOTAL(9,I8:I13)</f>
        <v>3969</v>
      </c>
      <c r="J14" s="1147">
        <f>IF(ISNUMBER(I14/B14),I14/B14," - ")</f>
        <v>496.125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951</v>
      </c>
      <c r="D17" s="452">
        <f>IF(ISNUMBER(C17/Datos!BH17),C17/Datos!BH17," - ")</f>
        <v>135.85714285714286</v>
      </c>
      <c r="E17" s="451">
        <f>IF(ISNUMBER(IF(D_I="SI",Datos!J17,Datos!J17+Datos!AD17)),IF(D_I="SI",Datos!J17,Datos!J17+Datos!AD17)," - ")</f>
        <v>6852</v>
      </c>
      <c r="F17" s="452">
        <f>IF(ISNUMBER(E17/B17),E17/B17," - ")</f>
        <v>978.85714285714289</v>
      </c>
      <c r="G17" s="451">
        <f>IF(ISNUMBER(IF(D_I="SI",Datos!K17,Datos!K17+Datos!AE17)),IF(D_I="SI",Datos!K17,Datos!K17+Datos!AE17)," - ")</f>
        <v>6830</v>
      </c>
      <c r="H17" s="452">
        <f>IF(ISNUMBER(G17/B17),G17/B17," - ")</f>
        <v>975.71428571428567</v>
      </c>
      <c r="I17" s="451">
        <f>IF(ISNUMBER(IF(D_I="SI",Datos!L17,Datos!L17+Datos!AF17)),IF(D_I="SI",Datos!L17,Datos!L17+Datos!AF17)," - ")</f>
        <v>1068</v>
      </c>
      <c r="J17" s="452">
        <f>IF(ISNUMBER(I17/B17),I17/B17," - ")</f>
        <v>152.57142857142858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171</v>
      </c>
      <c r="D18" s="452">
        <f>IF(ISNUMBER(C18/Datos!BH18),C18/Datos!BH18," - ")</f>
        <v>85.5</v>
      </c>
      <c r="E18" s="451">
        <f>IF(ISNUMBER(IF(D_I="SI",Datos!J18,Datos!J18+Datos!AD18)),IF(D_I="SI",Datos!J18,Datos!J18+Datos!AD18)," - ")</f>
        <v>1098</v>
      </c>
      <c r="F18" s="452">
        <f>IF(ISNUMBER(E18/B18),E18/B18," - ")</f>
        <v>549</v>
      </c>
      <c r="G18" s="451">
        <f>IF(ISNUMBER(IF(D_I="SI",Datos!K18,Datos!K18+Datos!AE18)),IF(D_I="SI",Datos!K18,Datos!K18+Datos!AE18)," - ")</f>
        <v>1123</v>
      </c>
      <c r="H18" s="452">
        <f>IF(ISNUMBER(G18/B18),G18/B18," - ")</f>
        <v>561.5</v>
      </c>
      <c r="I18" s="451">
        <f>IF(ISNUMBER(IF(D_I="SI",Datos!L18,Datos!L18+Datos!AF18)),IF(D_I="SI",Datos!L18,Datos!L18+Datos!AF18)," - ")</f>
        <v>153</v>
      </c>
      <c r="J18" s="452">
        <f>IF(ISNUMBER(I18/B18),I18/B18," - ")</f>
        <v>76.5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1122</v>
      </c>
      <c r="D23" s="1147" t="str">
        <f>IF(ISNUMBER(C23/Datos!BI23),C23/Datos!BI23," - ")</f>
        <v xml:space="preserve"> - </v>
      </c>
      <c r="E23" s="1146">
        <f>SUBTOTAL(9,E15:E22)</f>
        <v>7950</v>
      </c>
      <c r="F23" s="1147">
        <f>IF(ISNUMBER(E23/B23),E23/B23," - ")</f>
        <v>993.75</v>
      </c>
      <c r="G23" s="1146">
        <f>SUBTOTAL(9,G15:G22)</f>
        <v>7953</v>
      </c>
      <c r="H23" s="1147">
        <f>IF(ISNUMBER(G23/B23),G23/B23," - ")</f>
        <v>994.125</v>
      </c>
      <c r="I23" s="1146">
        <f>SUBTOTAL(9,I15:I22)</f>
        <v>1221</v>
      </c>
      <c r="J23" s="1147">
        <f>IF(ISNUMBER(I23/B23),I23/B23," - ")</f>
        <v>152.625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4879</v>
      </c>
      <c r="D31" s="1085" t="str">
        <f>IF(ISNUMBER(C31/Datos!BI31),C31/Datos!BI31," - ")</f>
        <v xml:space="preserve"> - </v>
      </c>
      <c r="E31" s="1084">
        <f>SUBTOTAL(9,E9:E30)</f>
        <v>17662</v>
      </c>
      <c r="F31" s="1085">
        <f>IF(ISNUMBER(E31/B31),E31/B31," - ")</f>
        <v>2207.75</v>
      </c>
      <c r="G31" s="1084">
        <f>SUBTOTAL(9,G9:G30)</f>
        <v>17283</v>
      </c>
      <c r="H31" s="1085">
        <f>IF(ISNUMBER(G31/B31),G31/B31," - ")</f>
        <v>2160.375</v>
      </c>
      <c r="I31" s="1084">
        <f>SUBTOTAL(9,I9:I30)</f>
        <v>5190</v>
      </c>
      <c r="J31" s="1085">
        <f>IF(ISNUMBER(I31/B31),I31/B31," - ")</f>
        <v>648.75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pRr1/Zoa69XL9/jYEuM2lvuPtly9vaAcjESPEuHezgYbZr7C15d6Qsm5wiL6pS4G8BMulhsrLYXrUe+NejFV/g==" saltValue="G2wI7x1ocUIU0UCk9pC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PARLA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57</v>
      </c>
      <c r="G10" s="906">
        <f>IF(ISNUMBER(Datos!I10),Datos!I10," - ")</f>
        <v>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143</v>
      </c>
      <c r="AC10" s="905" t="str">
        <f>IF(ISNUMBER(IF(D_I="SI",DatosP!K18,DatosP!K18+DatosP!AE18)),IF(D_I="SI",DatosP!K18,DatosP!K18+DatosP!AE18)," - ")</f>
        <v xml:space="preserve"> - </v>
      </c>
      <c r="AD10" s="907"/>
      <c r="AE10" s="907"/>
      <c r="AF10" s="910">
        <f>IF(ISNUMBER(Datos!L10),Datos!L10,"-")</f>
        <v>82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42</v>
      </c>
      <c r="AM10" s="914">
        <f>IF(ISNUMBER(Datos!N10+DatosP!N18),Datos!N10+DatosP!N18," - ")</f>
        <v>59</v>
      </c>
      <c r="AN10" s="914">
        <f>IF(ISNUMBER(Datos!BW10+DatosP!BW18),Datos!BW10+DatosP!BW18," - ")</f>
        <v>0</v>
      </c>
      <c r="AO10" s="915">
        <f>IF(ISNUMBER(Datos!BX10+DatosP!BX18),Datos!BX10+DatosP!BX18," - ")</f>
        <v>0</v>
      </c>
      <c r="AP10" s="917">
        <f>IF(ISNUMBER(((Datos!L10/Datos!K10)*11)/factor_trimestre),((Datos!L10/Datos!K10)*11)/factor_trimestre," - ")</f>
        <v>6.3076923076923075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1774</v>
      </c>
      <c r="AM12" s="914">
        <f>IF(ISNUMBER(Datos!N12+DatosP!N17),Datos!N12+DatosP!N17," - ")</f>
        <v>4152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4.6540764123217588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-4.6490218642117373E-2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57</v>
      </c>
      <c r="G14" s="1256">
        <f t="shared" si="0"/>
        <v>57</v>
      </c>
      <c r="H14" s="1256">
        <f t="shared" si="0"/>
        <v>0</v>
      </c>
      <c r="I14" s="1258">
        <f t="shared" si="0"/>
        <v>0</v>
      </c>
      <c r="J14" s="1257">
        <f t="shared" si="0"/>
        <v>0</v>
      </c>
      <c r="K14" s="1257">
        <f t="shared" si="0"/>
        <v>0</v>
      </c>
      <c r="L14" s="1259">
        <f t="shared" si="0"/>
        <v>0</v>
      </c>
      <c r="M14" s="1259">
        <f t="shared" si="0"/>
        <v>0</v>
      </c>
      <c r="N14" s="1257">
        <f t="shared" si="0"/>
        <v>2299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143</v>
      </c>
      <c r="AC14" s="1257">
        <f t="shared" si="1"/>
        <v>0</v>
      </c>
      <c r="AD14" s="1257">
        <f t="shared" si="1"/>
        <v>2671</v>
      </c>
      <c r="AE14" s="1257">
        <f t="shared" si="1"/>
        <v>0</v>
      </c>
      <c r="AF14" s="1257">
        <f t="shared" si="1"/>
        <v>82</v>
      </c>
      <c r="AG14" s="1257">
        <f t="shared" si="1"/>
        <v>0</v>
      </c>
      <c r="AH14" s="1257">
        <f t="shared" si="1"/>
        <v>8286</v>
      </c>
      <c r="AI14" s="1257">
        <f t="shared" si="1"/>
        <v>0</v>
      </c>
      <c r="AJ14" s="1257">
        <f t="shared" si="1"/>
        <v>0</v>
      </c>
      <c r="AK14" s="1257">
        <f t="shared" si="1"/>
        <v>0</v>
      </c>
      <c r="AL14" s="1257">
        <f t="shared" si="1"/>
        <v>1816</v>
      </c>
      <c r="AM14" s="1257">
        <f t="shared" si="1"/>
        <v>4211</v>
      </c>
      <c r="AN14" s="1257">
        <f t="shared" si="1"/>
        <v>0</v>
      </c>
      <c r="AO14" s="1257">
        <f t="shared" si="1"/>
        <v>0</v>
      </c>
      <c r="AP14" s="1262">
        <f>IF(ISNUMBER(((Datos!L14/Datos!K14)*11)/factor_trimestre),((Datos!L14/Datos!K14)*11)/factor_trimestre," - ")</f>
        <v>4.8159770114942528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-2.5087719298245612</v>
      </c>
      <c r="AU14" s="1257" t="str">
        <f>IF(ISNUMBER((DatosP!#REF!-DatosP!#REF!+DatosP!#REF!)/(DatosP!#REF!+DatosP!#REF!-DatosP!#REF!-DatosP!#REF!)),(DatosP!#REF!-DatosP!#REF!+DatosP!#REF!)/(DatosP!#REF!+DatosP!#REF!-DatosP!#REF!-DatosP!#REF!)," - ")</f>
        <v xml:space="preserve"> - </v>
      </c>
      <c r="AV14" s="1263">
        <f>SUBTOTAL(9,AV9:AV13)</f>
        <v>-4.6490218642117373E-2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1.6887966804979255</v>
      </c>
      <c r="AQ23" s="1262">
        <f>IF(ISNUMBER(((Datos!M23/Datos!L23)*11)/factor_trimestre),((Datos!M23/Datos!L23)*11)/factor_trimestre," - ")</f>
        <v>8.3153153153153152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-0.12624584717607973</v>
      </c>
      <c r="AW23" s="1265">
        <f>IF(ISNUMBER((Datos!Q23-Datos!R23)/(Datos!S23-Datos!Q23+Datos!R23)),(Datos!Q23-Datos!R23)/(Datos!S23-Datos!Q23+Datos!R23)," - ")</f>
        <v>2.9126213592233011E-2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57</v>
      </c>
      <c r="G31" s="1278">
        <f t="shared" si="8"/>
        <v>57</v>
      </c>
      <c r="H31" s="1278">
        <f t="shared" si="8"/>
        <v>0</v>
      </c>
      <c r="I31" s="1279">
        <f t="shared" si="8"/>
        <v>0</v>
      </c>
      <c r="J31" s="1280">
        <f t="shared" si="8"/>
        <v>0</v>
      </c>
      <c r="K31" s="1280">
        <f t="shared" si="8"/>
        <v>0</v>
      </c>
      <c r="L31" s="1280">
        <f t="shared" si="8"/>
        <v>0</v>
      </c>
      <c r="M31" s="1280">
        <f t="shared" si="8"/>
        <v>0</v>
      </c>
      <c r="N31" s="1279">
        <f t="shared" si="8"/>
        <v>2299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143</v>
      </c>
      <c r="AC31" s="1284">
        <f t="shared" si="9"/>
        <v>0</v>
      </c>
      <c r="AD31" s="1284">
        <f t="shared" si="9"/>
        <v>2671</v>
      </c>
      <c r="AE31" s="1284">
        <f t="shared" si="9"/>
        <v>0</v>
      </c>
      <c r="AF31" s="1285">
        <f t="shared" si="9"/>
        <v>82</v>
      </c>
      <c r="AG31" s="1285">
        <f t="shared" si="9"/>
        <v>0</v>
      </c>
      <c r="AH31" s="1285">
        <f t="shared" si="9"/>
        <v>8286</v>
      </c>
      <c r="AI31" s="1285">
        <f t="shared" si="9"/>
        <v>0</v>
      </c>
      <c r="AJ31" s="1286">
        <f t="shared" si="9"/>
        <v>0</v>
      </c>
      <c r="AK31" s="1286">
        <f t="shared" si="9"/>
        <v>0</v>
      </c>
      <c r="AL31" s="1278">
        <f t="shared" si="9"/>
        <v>1816</v>
      </c>
      <c r="AM31" s="1278">
        <f t="shared" si="9"/>
        <v>4211</v>
      </c>
      <c r="AN31" s="1278">
        <f t="shared" si="9"/>
        <v>0</v>
      </c>
      <c r="AO31" s="1278">
        <f t="shared" si="9"/>
        <v>0</v>
      </c>
      <c r="AP31" s="1278">
        <f>IF(ISNUMBER(((Datos!L31/Datos!K31)*11)/factor_trimestre),((Datos!L31/Datos!K31)*11)/factor_trimestre," - ")</f>
        <v>3.3225244700654537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-2.5087719298245612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-5.090748118636565E-2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31.22018577779447</v>
      </c>
      <c r="G33" s="1007">
        <f>IF(ISNUMBER(STDEV(G8:G30)),STDEV(G8:G30),"-")</f>
        <v>31.22018577779447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78.324325723238758</v>
      </c>
      <c r="AC33" s="1008">
        <f>IF(ISNUMBER(STDEV(AC8:AC30)),STDEV(AC8:AC30),"-")</f>
        <v>0</v>
      </c>
      <c r="AD33" s="1011"/>
      <c r="AE33" s="1011"/>
      <c r="AF33" s="1011"/>
      <c r="AG33" s="1011"/>
      <c r="AH33" s="1011"/>
      <c r="AI33" s="1011"/>
      <c r="AJ33" s="1012">
        <f>IF(ISNUMBER(STDEV(AJ8:AJ30)),STDEV(AJ8:AJ30),"-")</f>
        <v>0</v>
      </c>
      <c r="AK33" s="1014"/>
      <c r="AL33" s="1006">
        <f>IF(ISNUMBER(STDEV(AL8:AL30)),STDEV(AL8:AL30),"-")</f>
        <v>921.75108715241925</v>
      </c>
      <c r="AM33" s="1006"/>
      <c r="AN33" s="1006">
        <f>IF(ISNUMBER(STDEV(AN8:AN30)),STDEV(AN8:AN30),"-")</f>
        <v>0</v>
      </c>
      <c r="AO33" s="1012">
        <f>IF(ISNUMBER(STDEV(AO8:AO30)),STDEV(AO8:AO30),"-")</f>
        <v>0</v>
      </c>
      <c r="AP33" s="1065">
        <f>IF(ISNUMBER(STDEV(AP8:AP30)),STDEV(AP8:AP30),"-")</f>
        <v>1.9341709977790817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2Z32HB8zqeWMxWNeQF+6F6+uqcBgORYDoiYLlo12gnYGHxZpm18yNp39cYXq05yCKLBdydtPIh+0AOYDARELsQ==" saltValue="bqXQ/PD4P0+eAlUbbxjy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PARLA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olj85N+gj9K3ShQIhM/9/2Wr7wfSiUiCM3QaYyue97PtOh4kayxdeKMx1pq9CpxFisgzniyZYS1aL079Myn+Cw==" saltValue="MK73NoqTbh1QYfUFvWEq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PARLA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2</v>
      </c>
      <c r="C10" s="458">
        <f>Datos!AQ10</f>
        <v>1</v>
      </c>
      <c r="D10" s="451">
        <f>IF(ISNUMBER(Datos!M10),Datos!M10," - ")</f>
        <v>42</v>
      </c>
      <c r="E10" s="452">
        <f>IF(ISNUMBER(D10/B10),D10/B10," - ")</f>
        <v>21</v>
      </c>
      <c r="F10" s="451">
        <f>IF(ISNUMBER(Datos!N10),Datos!N10," - ")</f>
        <v>59</v>
      </c>
      <c r="G10" s="452">
        <f>IF(ISNUMBER(F10/B10),F10/B10," - ")</f>
        <v>29.5</v>
      </c>
      <c r="H10" s="451">
        <f>IF(ISNUMBER(Datos!O10),Datos!O10," - ")</f>
        <v>54</v>
      </c>
      <c r="I10" s="452">
        <f t="shared" ref="I10:I13" si="2">IF(ISNUMBER(H10/B10),H10/B10," - ")</f>
        <v>27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1774</v>
      </c>
      <c r="E12" s="452">
        <f t="shared" si="0"/>
        <v>253.42857142857142</v>
      </c>
      <c r="F12" s="451">
        <f>IF(ISNUMBER(Datos!N12),Datos!N12," - ")</f>
        <v>4152</v>
      </c>
      <c r="G12" s="452">
        <f t="shared" si="1"/>
        <v>593.14285714285711</v>
      </c>
      <c r="H12" s="451">
        <f>IF(ISNUMBER(Datos!O12),Datos!O12," - ")</f>
        <v>3642</v>
      </c>
      <c r="I12" s="452">
        <f t="shared" si="2"/>
        <v>520.28571428571433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1816</v>
      </c>
      <c r="E14" s="1147">
        <f t="shared" si="0"/>
        <v>201.77777777777777</v>
      </c>
      <c r="F14" s="1146">
        <f>SUBTOTAL(9,F9:F13)</f>
        <v>4211</v>
      </c>
      <c r="G14" s="1147">
        <f t="shared" si="1"/>
        <v>467.88888888888891</v>
      </c>
      <c r="H14" s="1146">
        <f>SUBTOTAL(9,H9:H13)</f>
        <v>3696</v>
      </c>
      <c r="I14" s="1147">
        <f>IF(ISNUMBER(H14/B14),H14/B14," - ")</f>
        <v>410.66666666666669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877</v>
      </c>
      <c r="E17" s="452">
        <f t="shared" si="3"/>
        <v>125.28571428571429</v>
      </c>
      <c r="F17" s="451">
        <f>IF(ISNUMBER(Datos!N17),Datos!N17," - ")</f>
        <v>4290</v>
      </c>
      <c r="G17" s="452">
        <f t="shared" si="4"/>
        <v>612.85714285714289</v>
      </c>
      <c r="H17" s="451">
        <f>IF(ISNUMBER(Datos!O17),Datos!O17," - ")</f>
        <v>115</v>
      </c>
      <c r="I17" s="452">
        <f t="shared" si="5"/>
        <v>16.428571428571427</v>
      </c>
    </row>
    <row r="18" spans="1:9">
      <c r="A18" s="450" t="str">
        <f>Datos!A18</f>
        <v>Jdos. Violencia contra la mujer</v>
      </c>
      <c r="B18" s="480">
        <f>Datos!AO18</f>
        <v>2</v>
      </c>
      <c r="C18" s="481">
        <f>Datos!AQ18</f>
        <v>1</v>
      </c>
      <c r="D18" s="451">
        <f>IF(ISNUMBER(Datos!M18),Datos!M18," - ")</f>
        <v>46</v>
      </c>
      <c r="E18" s="452">
        <f>IF(ISNUMBER(D18/B18),D18/B18," - ")</f>
        <v>23</v>
      </c>
      <c r="F18" s="451">
        <f>IF(ISNUMBER(Datos!N18),Datos!N18," - ")</f>
        <v>603</v>
      </c>
      <c r="G18" s="452">
        <f>IF(ISNUMBER(F18/B18),F18/B18," - ")</f>
        <v>301.5</v>
      </c>
      <c r="H18" s="451">
        <f>IF(ISNUMBER(Datos!O18),Datos!O18," - ")</f>
        <v>3</v>
      </c>
      <c r="I18" s="452">
        <f t="shared" si="5"/>
        <v>1.5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923</v>
      </c>
      <c r="E23" s="1147">
        <f t="shared" si="3"/>
        <v>102.55555555555556</v>
      </c>
      <c r="F23" s="1146">
        <f>SUBTOTAL(9,F16:F22)</f>
        <v>4893</v>
      </c>
      <c r="G23" s="1147">
        <f t="shared" si="4"/>
        <v>543.66666666666663</v>
      </c>
      <c r="H23" s="1146">
        <f>SUBTOTAL(9,H16:H22)</f>
        <v>118</v>
      </c>
      <c r="I23" s="1147">
        <f>IF(ISNUMBER(H23/B23),H23/B23," - ")</f>
        <v>13.111111111111111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2739</v>
      </c>
      <c r="E31" s="1085">
        <f>IF(ISNUMBER(D31/B31),D31/B31," - ")</f>
        <v>342.375</v>
      </c>
      <c r="F31" s="1084">
        <f>SUBTOTAL(9,F8:F30)</f>
        <v>9104</v>
      </c>
      <c r="G31" s="1085">
        <f>IF(ISNUMBER(F31/B31),F31/B31," - ")</f>
        <v>1138</v>
      </c>
      <c r="H31" s="1084">
        <f>SUBTOTAL(9,H8:H30)</f>
        <v>3814</v>
      </c>
      <c r="I31" s="1085">
        <f>IF(ISNUMBER(H31/B31),H31/B31," - ")</f>
        <v>476.75</v>
      </c>
    </row>
    <row r="34" spans="1:1">
      <c r="A34" s="439" t="str">
        <f>Criterios!A4</f>
        <v>Fecha Informe: 15 abr. 2023</v>
      </c>
    </row>
    <row r="39" spans="1:1">
      <c r="A39" s="462"/>
    </row>
  </sheetData>
  <sheetProtection algorithmName="SHA-512" hashValue="H4YwjPwfO6C7OJr1VvraT4guUa/hUwVdH4QpemBc6AYVXd5nHCG2MAk9vHh/U7EyoAYx+3LxWDK5KnFyiD1V2w==" saltValue="F2sWo1YnTGaGMRc92O6T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PARLA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32</v>
      </c>
      <c r="C10" s="489">
        <f>IF(ISNUMBER(Datos!Q10),Datos!Q10," - ")</f>
        <v>50</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2267</v>
      </c>
      <c r="C12" s="489">
        <f>IF(ISNUMBER(Datos!Q12),Datos!Q12," - ")</f>
        <v>2671</v>
      </c>
      <c r="D12" s="456">
        <f>IF(ISNUMBER(Datos!R12),Datos!R12," - ")</f>
        <v>8286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2299</v>
      </c>
      <c r="C14" s="1150">
        <f>SUBTOTAL(9,C9:C13)</f>
        <v>2721</v>
      </c>
      <c r="D14" s="1148">
        <f>SUBTOTAL(9,D9:D13)</f>
        <v>8313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259</v>
      </c>
      <c r="C17" s="489">
        <f>IF(ISNUMBER(Datos!Q17),Datos!Q17," - ")</f>
        <v>293</v>
      </c>
      <c r="D17" s="456">
        <f>IF(ISNUMBER(Datos!R17),Datos!R17," - ")</f>
        <v>263</v>
      </c>
    </row>
    <row r="18" spans="1:4">
      <c r="A18" s="450" t="str">
        <f>Datos!A18</f>
        <v>Jdos. Violencia contra la mujer</v>
      </c>
      <c r="B18" s="488">
        <f>IF(ISNUMBER(Datos!P18),Datos!P18," - ")</f>
        <v>5</v>
      </c>
      <c r="C18" s="489">
        <f>IF(ISNUMBER(Datos!Q18),Datos!Q18," - ")</f>
        <v>9</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264</v>
      </c>
      <c r="C23" s="1150">
        <f>SUBTOTAL(9,C16:C22)</f>
        <v>302</v>
      </c>
      <c r="D23" s="1148">
        <f>SUBTOTAL(9,D16:D22)</f>
        <v>263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2563</v>
      </c>
      <c r="C31" s="1089">
        <f>SUBTOTAL(9,C8:C30)</f>
        <v>3023</v>
      </c>
      <c r="D31" s="1090">
        <f>SUBTOTAL(9,D8:D30)</f>
        <v>8576</v>
      </c>
    </row>
    <row r="32" spans="1:4" ht="7.5" customHeight="1"/>
    <row r="33" spans="1:1" ht="6" customHeight="1"/>
    <row r="34" spans="1:1">
      <c r="A34" s="439" t="str">
        <f>Criterios!A4</f>
        <v>Fecha Informe: 15 abr. 2023</v>
      </c>
    </row>
    <row r="39" spans="1:1">
      <c r="A39" s="462"/>
    </row>
  </sheetData>
  <sheetProtection algorithmName="SHA-512" hashValue="sBbqGADqstgDnWTkqghhREWG0eNAaT5keMYhMuEB+Do2RTEl5ye/A4eshcWM6MTD1cCEB+FP2zkP9HsVQShK6g==" saltValue="EqMPxFC9TURiVr78vODw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PARLA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-0.14925373134328357</v>
      </c>
      <c r="C10" s="515">
        <f>IF(ISNUMBER((Datos!J10-Datos!T10)/Datos!T10),(Datos!J10-Datos!T10)/Datos!T10," - ")</f>
        <v>0.30232558139534882</v>
      </c>
      <c r="D10" s="515">
        <f>IF(ISNUMBER((Datos!K10-Datos!U10)/Datos!U10),(Datos!K10-Datos!U10)/Datos!U10," - ")</f>
        <v>5.1470588235294115E-2</v>
      </c>
      <c r="E10" s="515">
        <f>IF(ISNUMBER((Datos!L10-Datos!V10)/Datos!V10),(Datos!L10-Datos!V10)/Datos!V10," - ")</f>
        <v>0.43859649122807015</v>
      </c>
      <c r="F10" s="515">
        <f>IF(ISNUMBER((Datos!M10-Datos!W10)/Datos!W10),(Datos!M10-Datos!W10)/Datos!W10," - ")</f>
        <v>-0.23636363636363636</v>
      </c>
      <c r="G10" s="516">
        <f>IF(ISNUMBER((Datos!N10-Datos!X10)/Datos!X10),(Datos!N10-Datos!X10)/Datos!X10," - ")</f>
        <v>-4.8387096774193547E-2</v>
      </c>
      <c r="H10" s="514">
        <f>IF(ISNUMBER(((NºAsuntos!G10/NºAsuntos!E10)-Datos!BD10)/Datos!BD10),((NºAsuntos!G10/NºAsuntos!E10)-Datos!BD10)/Datos!BD10," - ")</f>
        <v>-0.19262079831932782</v>
      </c>
      <c r="I10" s="515">
        <f>IF(ISNUMBER(((NºAsuntos!I10/NºAsuntos!G10)-Datos!BE10)/Datos!BE10),((NºAsuntos!I10/NºAsuntos!G10)-Datos!BE10)/Datos!BE10," - ")</f>
        <v>0.36817568396515765</v>
      </c>
      <c r="J10" s="521">
        <f>IF(ISNUMBER((('Resol  Asuntos'!D10/NºAsuntos!G10)-Datos!BF10)/Datos!BF10),(('Resol  Asuntos'!D10/NºAsuntos!G10)-Datos!BF10)/Datos!BF10," - ")</f>
        <v>-0.27374443738080106</v>
      </c>
      <c r="K10" s="522">
        <f>IF(ISNUMBER((((NºAsuntos!C10+NºAsuntos!E10)/NºAsuntos!G10)-Datos!BG10)/Datos!BG10),(((NºAsuntos!C10+NºAsuntos!E10)/NºAsuntos!G10)-Datos!BG10)/Datos!BG10," - ")</f>
        <v>9.1765377479663138E-2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-4.7619047619047616E-2</v>
      </c>
      <c r="C12" s="515">
        <f>IF(ISNUMBER(
   IF(J_V="SI",(Datos!J12-Datos!T12)/Datos!T12,(Datos!J12+Datos!Z12-(Datos!T12+Datos!AH12))/(Datos!T12+Datos!AH12))
     ),IF(J_V="SI",(Datos!J12-Datos!T12)/Datos!T12,(Datos!J12+Datos!Z12-(Datos!T12+Datos!AH12))/(Datos!T12+Datos!AH12))," - ")</f>
        <v>0.18898716830696399</v>
      </c>
      <c r="D12" s="515">
        <f>IF(ISNUMBER(
   IF(J_V="SI",(Datos!K12-Datos!U12)/Datos!U12,(Datos!K12+Datos!AA12-(Datos!U12+Datos!AI12))/(Datos!U12+Datos!AI12))
     ),IF(J_V="SI",(Datos!K12-Datos!U12)/Datos!U12,(Datos!K12+Datos!AA12-(Datos!U12+Datos!AI12))/(Datos!U12+Datos!AI12))," - ")</f>
        <v>0.13658295187430408</v>
      </c>
      <c r="E12" s="515">
        <f>IF(ISNUMBER(
   IF(J_V="SI",(Datos!L12-Datos!V12)/Datos!V12,(Datos!L12+Datos!AB12-(Datos!V12+Datos!AJ12))/(Datos!V12+Datos!AJ12))
     ),IF(J_V="SI",(Datos!L12-Datos!V12)/Datos!V12,(Datos!L12+Datos!AB12-(Datos!V12+Datos!AJ12))/(Datos!V12+Datos!AJ12))," - ")</f>
        <v>5.0540540540540538E-2</v>
      </c>
      <c r="F12" s="515">
        <f>IF(ISNUMBER((Datos!M12-Datos!W12)/Datos!W12),(Datos!M12-Datos!W12)/Datos!W12," - ")</f>
        <v>6.9318866787221212E-2</v>
      </c>
      <c r="G12" s="516">
        <f>IF(ISNUMBER((Datos!N12-Datos!X12)/Datos!X12),(Datos!N12-Datos!X12)/Datos!X12," - ")</f>
        <v>0.22767593140153755</v>
      </c>
      <c r="H12" s="514">
        <f>IF(ISNUMBER(((NºAsuntos!G12/NºAsuntos!E12)-Datos!BD12)/Datos!BD12),((NºAsuntos!G12/NºAsuntos!E12)-Datos!BD12)/Datos!BD12," - ")</f>
        <v>-4.4074669457770346E-2</v>
      </c>
      <c r="I12" s="515">
        <f>IF(ISNUMBER(((NºAsuntos!I12/NºAsuntos!G12)-Datos!BE12)/Datos!BE12),((NºAsuntos!I12/NºAsuntos!G12)-Datos!BE12)/Datos!BE12," - ")</f>
        <v>-7.5702711528334618E-2</v>
      </c>
      <c r="J12" s="521">
        <f>IF(ISNUMBER((('Resol  Asuntos'!D12/NºAsuntos!G12)-Datos!BF12)/Datos!BF12),(('Resol  Asuntos'!D12/NºAsuntos!G12)-Datos!BF12)/Datos!BF12," - ")</f>
        <v>-0.53849238153544943</v>
      </c>
      <c r="K12" s="522">
        <f>IF(ISNUMBER((((NºAsuntos!C12+NºAsuntos!E12)/NºAsuntos!G12)-Datos!BG12)/Datos!BG12),(((NºAsuntos!C12+NºAsuntos!E12)/NºAsuntos!G12)-Datos!BG12)/Datos!BG12," - ")</f>
        <v>-2.1787180954663182E-2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-4.9342105263157895E-2</v>
      </c>
      <c r="C14" s="1152">
        <f>IF(ISNUMBER(
   IF(J_V="SI",(Datos!J14-Datos!T14)/Datos!T14,(Datos!J14+Datos!Z14-(Datos!T14+Datos!AH14))/(Datos!T14+Datos!AH14))
     ),IF(J_V="SI",(Datos!J14-Datos!T14)/Datos!T14,(Datos!J14+Datos!Z14-(Datos!T14+Datos!AH14))/(Datos!T14+Datos!AH14))," - ")</f>
        <v>0.19077979401667483</v>
      </c>
      <c r="D14" s="1152">
        <f>IF(ISNUMBER(
   IF(J_V="SI",(Datos!K14-Datos!U14)/Datos!U14,(Datos!K14+Datos!AA14-(Datos!U14+Datos!AI14))/(Datos!U14+Datos!AI14))
     ),IF(J_V="SI",(Datos!K14-Datos!U14)/Datos!U14,(Datos!K14+Datos!AA14-(Datos!U14+Datos!AI14))/(Datos!U14+Datos!AI14))," - ")</f>
        <v>0.13517459544956809</v>
      </c>
      <c r="E14" s="1152">
        <f>IF(ISNUMBER(
   IF(J_V="SI",(Datos!L14-Datos!V14)/Datos!V14,(Datos!L14+Datos!AB14-(Datos!V14+Datos!AJ14))/(Datos!V14+Datos!AJ14))
     ),IF(J_V="SI",(Datos!L14-Datos!V14)/Datos!V14,(Datos!L14+Datos!AB14-(Datos!V14+Datos!AJ14))/(Datos!V14+Datos!AJ14))," - ")</f>
        <v>5.6428001064679267E-2</v>
      </c>
      <c r="F14" s="1153">
        <f>IF(ISNUMBER((Datos!M14-Datos!W14)/Datos!W14),(Datos!M14-Datos!W14)/Datos!W14," - ")</f>
        <v>5.9509918319719954E-2</v>
      </c>
      <c r="G14" s="1154">
        <f>IF(ISNUMBER((Datos!N14-Datos!X14)/Datos!X14),(Datos!N14-Datos!X14)/Datos!X14," - ")</f>
        <v>0.2227061556329849</v>
      </c>
      <c r="H14" s="1154">
        <f>IF(ISNUMBER(((NºAsuntos!G14/NºAsuntos!E14)-Datos!BD14)/Datos!BD14),((NºAsuntos!G14/NºAsuntos!E14)-Datos!BD14)/Datos!BD14," - ")</f>
        <v>-4.6696457940004432E-2</v>
      </c>
      <c r="I14" s="1154">
        <f>IF(ISNUMBER(((NºAsuntos!I14/NºAsuntos!G14)-Datos!BE14)/Datos!BE14),((NºAsuntos!I14/NºAsuntos!G14)-Datos!BE14)/Datos!BE14," - ")</f>
        <v>-6.9369588343987196E-2</v>
      </c>
      <c r="J14" s="1154">
        <f>IF(ISNUMBER((('Resol  Asuntos'!D14/NºAsuntos!G14)-Datos!BF14)/Datos!BF14),(('Resol  Asuntos'!D14/NºAsuntos!G14)-Datos!BF14)/Datos!BF14," - ")</f>
        <v>-0.5345493418354762</v>
      </c>
      <c r="K14" s="1154">
        <f>IF(ISNUMBER((((NºAsuntos!C14+NºAsuntos!E14)/NºAsuntos!G14)-Datos!BG14)/Datos!BG14),(((NºAsuntos!C14+NºAsuntos!E14)/NºAsuntos!G14)-Datos!BG14)/Datos!BG14," - ")</f>
        <v>-2.0058213130769074E-2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-0.16943231441048034</v>
      </c>
      <c r="C17" s="515">
        <f>IF(ISNUMBER(
   IF(D_I="SI",(Datos!J17-Datos!T17)/Datos!T17,(Datos!J17+Datos!AD17-(Datos!T17+Datos!AL17))/(Datos!T17+Datos!AL17))
     ),IF(D_I="SI",(Datos!J17-Datos!T17)/Datos!T17,(Datos!J17+Datos!AD17-(Datos!T17+Datos!AL17))/(Datos!T17+Datos!AL17))," - ")</f>
        <v>0.12623274161735701</v>
      </c>
      <c r="D17" s="515">
        <f>IF(ISNUMBER(
   IF(D_I="SI",(Datos!K17-Datos!U17)/Datos!U17,(Datos!K17+Datos!AE17-(Datos!U17+Datos!AM17))/(Datos!U17+Datos!AM17))
     ),IF(D_I="SI",(Datos!K17-Datos!U17)/Datos!U17,(Datos!K17+Datos!AE17-(Datos!U17+Datos!AM17))/(Datos!U17+Datos!AM17))," - ")</f>
        <v>8.5677952630742335E-2</v>
      </c>
      <c r="E17" s="515">
        <f>IF(ISNUMBER(
   IF(D_I="SI",(Datos!L17-Datos!V17)/Datos!V17,(Datos!L17+Datos!AF17-(Datos!V17+Datos!AN17))/(Datos!V17+Datos!AN17))
     ),IF(D_I="SI",(Datos!L17-Datos!V17)/Datos!V17,(Datos!L17+Datos!AF17-(Datos!V17+Datos!AN17))/(Datos!V17+Datos!AN17))," - ")</f>
        <v>0.12302839116719243</v>
      </c>
      <c r="F17" s="515">
        <f>IF(ISNUMBER((Datos!M17-Datos!W17)/Datos!W17),(Datos!M17-Datos!W17)/Datos!W17," - ")</f>
        <v>-0.10873983739837398</v>
      </c>
      <c r="G17" s="516">
        <f>IF(ISNUMBER((Datos!N17-Datos!X17)/Datos!X17),(Datos!N17-Datos!X17)/Datos!X17," - ")</f>
        <v>0.13853503184713375</v>
      </c>
      <c r="H17" s="514">
        <f>IF(ISNUMBER(((NºAsuntos!G17/NºAsuntos!E17)-Datos!BD17)/Datos!BD17),((NºAsuntos!G17/NºAsuntos!E17)-Datos!BD17)/Datos!BD17," - ")</f>
        <v>-3.6009243460969516E-2</v>
      </c>
      <c r="I17" s="515">
        <f>IF(ISNUMBER(((NºAsuntos!I17/NºAsuntos!G17)-Datos!BE17)/Datos!BE17),((NºAsuntos!I17/NºAsuntos!G17)-Datos!BE17)/Datos!BE17," - ")</f>
        <v>3.4402870985769676E-2</v>
      </c>
      <c r="J17" s="521">
        <f>IF(ISNUMBER((('Resol  Asuntos'!D17/NºAsuntos!G17)-Datos!BF17)/Datos!BF17),(('Resol  Asuntos'!D17/NºAsuntos!G17)-Datos!BF17)/Datos!BF17," - ")</f>
        <v>-0.17907500982037644</v>
      </c>
      <c r="K17" s="522">
        <f>IF(ISNUMBER((((NºAsuntos!C17+NºAsuntos!E17)/NºAsuntos!G17)-Datos!BG17)/Datos!BG17),(((NºAsuntos!C17+NºAsuntos!E17)/NºAsuntos!G17)-Datos!BG17)/Datos!BG17," - ")</f>
        <v>-5.7803012795988431E-3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-0.26609442060085836</v>
      </c>
      <c r="C18" s="515">
        <f>IF(ISNUMBER(
   IF(D_I="SI",(Datos!J18-Datos!T18)/Datos!T18,(Datos!J18+Datos!AD18-(Datos!T18+Datos!AL18))/(Datos!T18+Datos!AL18))
     ),IF(D_I="SI",(Datos!J18-Datos!T18)/Datos!T18,(Datos!J18+Datos!AD18-(Datos!T18+Datos!AL18))/(Datos!T18+Datos!AL18))," - ")</f>
        <v>0.16313559322033899</v>
      </c>
      <c r="D18" s="515">
        <f>IF(ISNUMBER(
   IF(D_I="SI",(Datos!K18-Datos!U18)/Datos!U18,(Datos!K18+Datos!AE18-(Datos!U18+Datos!AM18))/(Datos!U18+Datos!AM18))
     ),IF(D_I="SI",(Datos!K18-Datos!U18)/Datos!U18,(Datos!K18+Datos!AE18-(Datos!U18+Datos!AM18))/(Datos!U18+Datos!AM18))," - ")</f>
        <v>0.10422812192723697</v>
      </c>
      <c r="E18" s="515">
        <f>IF(ISNUMBER(
   IF(D_I="SI",(Datos!L18-Datos!V18)/Datos!V18,(Datos!L18+Datos!AF18-(Datos!V18+Datos!AN18))/(Datos!V18+Datos!AN18))
     ),IF(D_I="SI",(Datos!L18-Datos!V18)/Datos!V18,(Datos!L18+Datos!AF18-(Datos!V18+Datos!AN18))/(Datos!V18+Datos!AN18))," - ")</f>
        <v>-0.10526315789473684</v>
      </c>
      <c r="F18" s="515">
        <f>IF(ISNUMBER((Datos!M18-Datos!W18)/Datos!W18),(Datos!M18-Datos!W18)/Datos!W18," - ")</f>
        <v>-0.29230769230769232</v>
      </c>
      <c r="G18" s="516">
        <f>IF(ISNUMBER((Datos!N18-Datos!X18)/Datos!X18),(Datos!N18-Datos!X18)/Datos!X18," - ")</f>
        <v>0.13345864661654136</v>
      </c>
      <c r="H18" s="514">
        <f>IF(ISNUMBER(((NºAsuntos!G18/NºAsuntos!E18)-Datos!BD18)/Datos!BD18),((NºAsuntos!G18/NºAsuntos!E18)-Datos!BD18)/Datos!BD18," - ")</f>
        <v>-5.0645403370390148E-2</v>
      </c>
      <c r="I18" s="515">
        <f>IF(ISNUMBER(((NºAsuntos!I18/NºAsuntos!G18)-Datos!BE18)/Datos!BE18),((NºAsuntos!I18/NºAsuntos!G18)-Datos!BE18)/Datos!BE18," - ")</f>
        <v>-0.18971739232319454</v>
      </c>
      <c r="J18" s="521">
        <f>IF(ISNUMBER((('Resol  Asuntos'!D18/NºAsuntos!G18)-Datos!BF18)/Datos!BF18),(('Resol  Asuntos'!D18/NºAsuntos!G18)-Datos!BF18)/Datos!BF18," - ")</f>
        <v>-0.35910678813617369</v>
      </c>
      <c r="K18" s="522">
        <f>IF(ISNUMBER((((NºAsuntos!C18+NºAsuntos!E18)/NºAsuntos!G18)-Datos!BG18)/Datos!BG18),(((NºAsuntos!C18+NºAsuntos!E18)/NºAsuntos!G18)-Datos!BG18)/Datos!BG18," - ")</f>
        <v>-2.3603180883829317E-2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-0.18577648766328012</v>
      </c>
      <c r="C23" s="1152">
        <f>IF(ISNUMBER(
   IF(Criterios!B14="SI",(Datos!J23-Datos!T23)/Datos!T23,(Datos!J23+Datos!AD23-(Datos!T23+Datos!AL23))/(Datos!T23+Datos!AL23))
     ),IF(Criterios!B14="SI",(Datos!J23-Datos!T23)/Datos!T23,(Datos!J23+Datos!AD23-(Datos!T23+Datos!AL23))/(Datos!T23+Datos!AL23))," - ")</f>
        <v>0.13118952760387023</v>
      </c>
      <c r="D23" s="1152">
        <f>IF(ISNUMBER(
   IF(Criterios!B14="SI",(Datos!K23-Datos!U23)/Datos!U23,(Datos!K23+Datos!AE23-(Datos!U23+Datos!AM23))/(Datos!U23+Datos!AM23))
     ),IF(Criterios!B14="SI",(Datos!K23-Datos!U23)/Datos!U23,(Datos!K23+Datos!AE23-(Datos!U23+Datos!AM23))/(Datos!U23+Datos!AM23))," - ")</f>
        <v>8.8259441707717573E-2</v>
      </c>
      <c r="E23" s="1152">
        <f>IF(ISNUMBER(
   IF(Criterios!B14="SI",(Datos!L23-Datos!V23)/Datos!V23,(Datos!L23+Datos!AF23-(Datos!V23+Datos!AN23))/(Datos!V23+Datos!AN23))
     ),IF(Criterios!B14="SI",(Datos!L23-Datos!V23)/Datos!V23,(Datos!L23+Datos!AF23-(Datos!V23+Datos!AN23))/(Datos!V23+Datos!AN23))," - ")</f>
        <v>8.8235294117647065E-2</v>
      </c>
      <c r="F23" s="1153">
        <f>IF(ISNUMBER((Datos!M23-Datos!W23)/Datos!W23),(Datos!M23-Datos!W23)/Datos!W23," - ")</f>
        <v>-0.12011439466158245</v>
      </c>
      <c r="G23" s="1154">
        <f>IF(ISNUMBER((Datos!N23-Datos!X23)/Datos!X23),(Datos!N23-Datos!X23)/Datos!X23," - ")</f>
        <v>0.13790697674418603</v>
      </c>
      <c r="H23" s="1154">
        <f>IF(ISNUMBER(((NºAsuntos!G23/NºAsuntos!E23)-Datos!BD23)/Datos!BD23),((NºAsuntos!G23/NºAsuntos!E23)-Datos!BD23)/Datos!BD23," - ")</f>
        <v>-3.7951275934359895E-2</v>
      </c>
      <c r="I23" s="1154">
        <f>IF(ISNUMBER(((NºAsuntos!I23/NºAsuntos!G23)-Datos!BE23)/Datos!BE23),((NºAsuntos!I23/NºAsuntos!G23)-Datos!BE23)/Datos!BE23," - ")</f>
        <v>-2.2189184991216492E-5</v>
      </c>
      <c r="J23" s="1154">
        <f>IF(ISNUMBER((('Resol  Asuntos'!D23/NºAsuntos!G23)-Datos!BF23)/Datos!BF23),(('Resol  Asuntos'!D23/NºAsuntos!G23)-Datos!BF23)/Datos!BF23," - ")</f>
        <v>-0.1914744116920464</v>
      </c>
      <c r="K23" s="1154">
        <f>IF(ISNUMBER((((NºAsuntos!C23+NºAsuntos!E23)/NºAsuntos!G23)-Datos!BG23)/Datos!BG23),(((NºAsuntos!C23+NºAsuntos!E23)/NºAsuntos!G23)-Datos!BG23)/Datos!BG23," - ")</f>
        <v>-8.2979474433712459E-3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-8.461538461538462E-2</v>
      </c>
      <c r="C31" s="1092">
        <f>IF(ISNUMBER(
   IF(J_V="SI",(Datos!J31-Datos!T31)/Datos!T31,(Datos!J31+Datos!Z31-(Datos!T31+Datos!AH31))/(Datos!T31+Datos!AH31))
     ),IF(J_V="SI",(Datos!J31-Datos!T31)/Datos!T31,(Datos!J31+Datos!Z31-(Datos!T31+Datos!AH31))/(Datos!T31+Datos!AH31))," - ")</f>
        <v>0.16319810326659642</v>
      </c>
      <c r="D31" s="1092">
        <f>IF(ISNUMBER(
   IF(J_V="SI",(Datos!K31-Datos!U31)/Datos!U31,(Datos!K31+Datos!AA31-(Datos!U31+Datos!AI31))/(Datos!U31+Datos!AI31))
     ),IF(J_V="SI",(Datos!K31-Datos!U31)/Datos!U31,(Datos!K31+Datos!AA31-(Datos!U31+Datos!AI31))/(Datos!U31+Datos!AI31))," - ")</f>
        <v>0.11309332131126425</v>
      </c>
      <c r="E31" s="1092">
        <f>IF(ISNUMBER(
   IF(J_V="SI",(Datos!L31-Datos!V31)/Datos!V31,(Datos!L31+Datos!AB31-(Datos!V31+Datos!AJ31))/(Datos!V31+Datos!AJ31))
     ),IF(J_V="SI",(Datos!L31-Datos!V31)/Datos!V31,(Datos!L31+Datos!AB31-(Datos!V31+Datos!AJ31))/(Datos!V31+Datos!AJ31))," - ")</f>
        <v>6.374257019881123E-2</v>
      </c>
      <c r="F31" s="1093">
        <f>IF(ISNUMBER((Datos!M31-Datos!W31)/Datos!W31),(Datos!M31-Datos!W31)/Datos!W31," - ")</f>
        <v>-8.6862106406080351E-3</v>
      </c>
      <c r="G31" s="1094">
        <f>IF(ISNUMBER((Datos!N31-Datos!X31)/Datos!X31),(Datos!N31-Datos!X31)/Datos!X31," - ")</f>
        <v>0.1756198347107438</v>
      </c>
      <c r="H31" s="1095">
        <f>IF(ISNUMBER((Tasas!B31-Datos!BD31)/Datos!BD31),(Tasas!B31-Datos!BD31)/Datos!BD31," - ")</f>
        <v>-4.3075020338000369E-2</v>
      </c>
      <c r="I31" s="1096">
        <f>IF(ISNUMBER((Tasas!C31-Datos!BE31)/Datos!BE31),(Tasas!C31-Datos!BE31)/Datos!BE31," - ")</f>
        <v>-4.4336580022163806E-2</v>
      </c>
      <c r="J31" s="1097">
        <f>IF(ISNUMBER((Tasas!D31-Datos!BF31)/Datos!BF31),(Tasas!D31-Datos!BF31)/Datos!BF31," - ")</f>
        <v>-0.45146898801362612</v>
      </c>
      <c r="K31" s="1097">
        <f>IF(ISNUMBER((Tasas!E31-Datos!BG31)/Datos!BG31),(Tasas!E31-Datos!BG31)/Datos!BG31," - ")</f>
        <v>-1.2831586216078729E-2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evpRGpzfQagoOIcxXkg6yej1LDiTSQ6/N1VKVotfzqCAV9zjzdT1kayfW6FWVuHVGKWGQ3qac3gBV2rIF6hVQ==" saltValue="rriIHWwPiZFj6VEUeqTg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PARLA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0.85119047619047616</v>
      </c>
      <c r="C10" s="498">
        <f>IF(ISNUMBER(NºAsuntos!I10/NºAsuntos!G10),NºAsuntos!I10/NºAsuntos!G10," - ")</f>
        <v>0.57342657342657344</v>
      </c>
      <c r="D10" s="499">
        <f>IF(ISNUMBER('Resol  Asuntos'!D10/NºAsuntos!G10),'Resol  Asuntos'!D10/NºAsuntos!G10," - ")</f>
        <v>0.2937062937062937</v>
      </c>
      <c r="E10" s="500">
        <f>IF(ISNUMBER((NºAsuntos!C10+NºAsuntos!E10)/NºAsuntos!G10),(NºAsuntos!C10+NºAsuntos!E10)/NºAsuntos!G10," - ")</f>
        <v>1.5734265734265733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0.9625943000838223</v>
      </c>
      <c r="C12" s="498">
        <f>IF(ISNUMBER(NºAsuntos!I12/NºAsuntos!G12),NºAsuntos!I12/NºAsuntos!G12," - ")</f>
        <v>0.42309785566561448</v>
      </c>
      <c r="D12" s="499">
        <f>IF(ISNUMBER('Resol  Asuntos'!D12/NºAsuntos!G12),'Resol  Asuntos'!D12/NºAsuntos!G12," - ")</f>
        <v>0.19309894416022641</v>
      </c>
      <c r="E12" s="500">
        <f>IF(ISNUMBER((NºAsuntos!C12+NºAsuntos!E12)/NºAsuntos!G12),(NºAsuntos!C12+NºAsuntos!E12)/NºAsuntos!G12," - ")</f>
        <v>1.4416022640687929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0.96066721581548598</v>
      </c>
      <c r="C14" s="1156">
        <f>IF(ISNUMBER(NºAsuntos!I14/NºAsuntos!G14),NºAsuntos!I14/NºAsuntos!G14," - ")</f>
        <v>0.42540192926045017</v>
      </c>
      <c r="D14" s="1157">
        <f>IF(ISNUMBER('Resol  Asuntos'!D14/NºAsuntos!G14),'Resol  Asuntos'!D14/NºAsuntos!G14," - ")</f>
        <v>0.19464094319399786</v>
      </c>
      <c r="E14" s="1158">
        <f>IF(ISNUMBER((NºAsuntos!C14+NºAsuntos!E14)/NºAsuntos!G14),(NºAsuntos!C14+NºAsuntos!E14)/NºAsuntos!G14," - ")</f>
        <v>1.4436227224008575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0.99678925861062462</v>
      </c>
      <c r="C17" s="498">
        <f>IF(ISNUMBER(NºAsuntos!I17/NºAsuntos!G17),NºAsuntos!I17/NºAsuntos!G17," - ")</f>
        <v>0.15636896046852122</v>
      </c>
      <c r="D17" s="499">
        <f>IF(ISNUMBER('Resol  Asuntos'!D17/NºAsuntos!G17),'Resol  Asuntos'!D17/NºAsuntos!G17," - ")</f>
        <v>0.12840409956076135</v>
      </c>
      <c r="E17" s="500">
        <f>IF(ISNUMBER((NºAsuntos!C17+NºAsuntos!E17)/NºAsuntos!G17),(NºAsuntos!C17+NºAsuntos!E17)/NºAsuntos!G17," - ")</f>
        <v>1.1424597364568081</v>
      </c>
      <c r="G17" s="523"/>
    </row>
    <row r="18" spans="1:7">
      <c r="A18" s="450" t="str">
        <f>Datos!A18</f>
        <v>Jdos. Violencia contra la mujer</v>
      </c>
      <c r="B18" s="497">
        <f>IF(ISNUMBER(NºAsuntos!G18/NºAsuntos!E18),NºAsuntos!G18/NºAsuntos!E18," - ")</f>
        <v>1.0227686703096539</v>
      </c>
      <c r="C18" s="498">
        <f>IF(ISNUMBER(NºAsuntos!I18/NºAsuntos!G18),NºAsuntos!I18/NºAsuntos!G18," - ")</f>
        <v>0.13624220837043632</v>
      </c>
      <c r="D18" s="499">
        <f>IF(ISNUMBER('Resol  Asuntos'!D18/NºAsuntos!G18),'Resol  Asuntos'!D18/NºAsuntos!G18," - ")</f>
        <v>4.0961709706144253E-2</v>
      </c>
      <c r="E18" s="500">
        <f>IF(ISNUMBER((NºAsuntos!C18+NºAsuntos!E18)/NºAsuntos!G18),(NºAsuntos!C18+NºAsuntos!E18)/NºAsuntos!G18," - ")</f>
        <v>1.1300089047195014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1.000377358490566</v>
      </c>
      <c r="C23" s="1156">
        <f>IF(ISNUMBER(NºAsuntos!I23/NºAsuntos!G23),NºAsuntos!I23/NºAsuntos!G23," - ")</f>
        <v>0.15352697095435686</v>
      </c>
      <c r="D23" s="1159">
        <f>IF(ISNUMBER('Resol  Asuntos'!D23/NºAsuntos!G23),'Resol  Asuntos'!D23/NºAsuntos!G23," - ")</f>
        <v>0.11605683389915755</v>
      </c>
      <c r="E23" s="1158">
        <f>IF(ISNUMBER((NºAsuntos!C23+NºAsuntos!E23)/NºAsuntos!G23),(NºAsuntos!C23+NºAsuntos!E23)/NºAsuntos!G23," - ")</f>
        <v>1.1407016220294228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0.97854150152870567</v>
      </c>
      <c r="C31" s="1099">
        <f>IF(ISNUMBER(NºAsuntos!I31/NºAsuntos!G31),NºAsuntos!I31/NºAsuntos!G31," - ")</f>
        <v>0.30029508765839263</v>
      </c>
      <c r="D31" s="1100">
        <f>IF(ISNUMBER('Resol  Asuntos'!D31/NºAsuntos!G31),'Resol  Asuntos'!D31/NºAsuntos!G31," - ")</f>
        <v>0.15847943065440029</v>
      </c>
      <c r="E31" s="1101">
        <f>IF(ISNUMBER((NºAsuntos!C31+NºAsuntos!E31)/NºAsuntos!G31),(NºAsuntos!C31+NºAsuntos!E31)/NºAsuntos!G31," - ")</f>
        <v>1.3042295897702945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ZN/1y1XejSuMzxR1Gd1hIRBGrr99RHihEUAnzr+tXt9uel0koD2MyACvsgqV1XVUNCswWnAZlXeZp88/lQzw==" saltValue="0TLD2euYE2fM/INOnDdu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PARLA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57</v>
      </c>
      <c r="G10" s="373">
        <f>IF(ISNUMBER(Datos!I10),Datos!I10," - ")</f>
        <v>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143</v>
      </c>
      <c r="X10" s="240">
        <f>IF(ISNUMBER(Datos!Q10),Datos!Q10," - ")</f>
        <v>50</v>
      </c>
      <c r="Y10" s="374">
        <f t="shared" ref="Y10:Y13" si="0">SUM(W10:X10)</f>
        <v>193</v>
      </c>
      <c r="Z10" s="375" t="str">
        <f>IF(ISNUMBER(Datos!CC10),Datos!CC10," - ")</f>
        <v xml:space="preserve"> - </v>
      </c>
      <c r="AA10" s="372">
        <f>IF(ISNUMBER(Datos!L10),Datos!L10,"-")</f>
        <v>82</v>
      </c>
      <c r="AB10" s="374">
        <f>IF(ISNUMBER(Datos!R10),Datos!R10," - ")</f>
        <v>27</v>
      </c>
      <c r="AC10" s="374">
        <f t="shared" ref="AC10:AC13" si="1">IF(ISNUMBER(AA10+AB10),AA10+AB10," - ")</f>
        <v>109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42</v>
      </c>
      <c r="AJ10" s="245" t="str">
        <f>IF(ISNUMBER(Datos!BW10),Datos!BW10," - ")</f>
        <v xml:space="preserve"> - </v>
      </c>
      <c r="AK10" s="246" t="str">
        <f>IF(ISNUMBER(Datos!BX10),Datos!BX10," - ")</f>
        <v xml:space="preserve"> - </v>
      </c>
      <c r="AL10" s="266">
        <f>IF(ISNUMBER(NºAsuntos!G10/NºAsuntos!E10),NºAsuntos!G10/NºAsuntos!E10," - ")</f>
        <v>0.85119047619047616</v>
      </c>
      <c r="AM10" s="284">
        <f>IF(ISNUMBER(((NºAsuntos!I10/NºAsuntos!G10)*11)/factor_trimestre),((NºAsuntos!I10/NºAsuntos!G10)*11)/factor_trimestre," - ")</f>
        <v>6.3076923076923075</v>
      </c>
      <c r="AN10" s="267">
        <f>IF(ISNUMBER('Resol  Asuntos'!D10/NºAsuntos!G10),'Resol  Asuntos'!D10/NºAsuntos!G10," - ")</f>
        <v>0.2937062937062937</v>
      </c>
      <c r="AO10" s="268">
        <f>IF(ISNUMBER((NºAsuntos!C10+NºAsuntos!E10)/NºAsuntos!G10),(NºAsuntos!C10+NºAsuntos!E10)/NºAsuntos!G10," - ")</f>
        <v>1.5734265734265733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2671</v>
      </c>
      <c r="Y12" s="374">
        <f t="shared" si="0"/>
        <v>2671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1774</v>
      </c>
      <c r="AJ12" s="243" t="str">
        <f>IF(ISNUMBER(Datos!BW12),Datos!BW12," - ")</f>
        <v xml:space="preserve"> - </v>
      </c>
      <c r="AK12" s="242" t="str">
        <f>IF(ISNUMBER(Datos!BX12),Datos!BX12," - ")</f>
        <v xml:space="preserve"> - </v>
      </c>
      <c r="AL12" s="266">
        <f>IF(ISNUMBER(NºAsuntos!G12/NºAsuntos!E12),NºAsuntos!G12/NºAsuntos!E12," - ")</f>
        <v>0.9625943000838223</v>
      </c>
      <c r="AM12" s="284">
        <f>IF(ISNUMBER(((NºAsuntos!I12/NºAsuntos!G12)*11)/factor_trimestre),((NºAsuntos!I12/NºAsuntos!G12)*11)/factor_trimestre," - ")</f>
        <v>4.6540764123217588</v>
      </c>
      <c r="AN12" s="267">
        <f>IF(ISNUMBER('Resol  Asuntos'!D12/NºAsuntos!G12),'Resol  Asuntos'!D12/NºAsuntos!G12," - ")</f>
        <v>0.19309894416022641</v>
      </c>
      <c r="AO12" s="268">
        <f>IF(ISNUMBER((NºAsuntos!C12+NºAsuntos!E12)/NºAsuntos!G12),(NºAsuntos!C12+NºAsuntos!E12)/NºAsuntos!G12," - ")</f>
        <v>1.4416022640687929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57</v>
      </c>
      <c r="G14" s="1163">
        <f t="shared" si="5"/>
        <v>57</v>
      </c>
      <c r="H14" s="1162">
        <f t="shared" si="5"/>
        <v>0</v>
      </c>
      <c r="I14" s="1164">
        <f t="shared" si="5"/>
        <v>0</v>
      </c>
      <c r="J14" s="1164">
        <f t="shared" si="5"/>
        <v>0</v>
      </c>
      <c r="K14" s="1164">
        <f t="shared" si="5"/>
        <v>0</v>
      </c>
      <c r="L14" s="1164">
        <f t="shared" si="5"/>
        <v>2299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143</v>
      </c>
      <c r="X14" s="1164">
        <f t="shared" si="6"/>
        <v>2721</v>
      </c>
      <c r="Y14" s="1165">
        <f t="shared" si="6"/>
        <v>2864</v>
      </c>
      <c r="Z14" s="1165">
        <f t="shared" si="6"/>
        <v>0</v>
      </c>
      <c r="AA14" s="1165">
        <f t="shared" si="6"/>
        <v>82</v>
      </c>
      <c r="AB14" s="1165">
        <f t="shared" si="6"/>
        <v>8313</v>
      </c>
      <c r="AC14" s="1165">
        <f t="shared" si="6"/>
        <v>109</v>
      </c>
      <c r="AD14" s="1165">
        <f t="shared" si="6"/>
        <v>0</v>
      </c>
      <c r="AE14" s="1169">
        <f t="shared" si="6"/>
        <v>0</v>
      </c>
      <c r="AF14" s="1162">
        <f t="shared" si="6"/>
        <v>0</v>
      </c>
      <c r="AG14" s="1170">
        <f t="shared" si="6"/>
        <v>0</v>
      </c>
      <c r="AH14" s="1167">
        <f t="shared" si="6"/>
        <v>0</v>
      </c>
      <c r="AI14" s="1162">
        <f t="shared" si="6"/>
        <v>1816</v>
      </c>
      <c r="AJ14" s="1164">
        <f t="shared" si="6"/>
        <v>0</v>
      </c>
      <c r="AK14" s="1167">
        <f>SUBTOTAL(9,AK9:AK13)</f>
        <v>0</v>
      </c>
      <c r="AL14" s="1171">
        <f>IF(ISNUMBER(NºAsuntos!G14/NºAsuntos!E14),NºAsuntos!G14/NºAsuntos!E14," - ")</f>
        <v>0.96066721581548598</v>
      </c>
      <c r="AM14" s="1171">
        <f>IF(ISNUMBER(((NºAsuntos!I14/NºAsuntos!G14)*11)/factor_trimestre),((NºAsuntos!I14/NºAsuntos!G14)*11)/factor_trimestre," - ")</f>
        <v>4.6794212218649518</v>
      </c>
      <c r="AN14" s="1172">
        <f>IF(ISNUMBER('Resol  Asuntos'!D14/NºAsuntos!G14),'Resol  Asuntos'!D14/NºAsuntos!G14," - ")</f>
        <v>0.19464094319399786</v>
      </c>
      <c r="AO14" s="1173">
        <f>IF(ISNUMBER((NºAsuntos!C14+NºAsuntos!E14)/NºAsuntos!G14),(NºAsuntos!C14+NºAsuntos!E14)/NºAsuntos!G14," - ")</f>
        <v>1.4436227224008575</v>
      </c>
      <c r="AP14" s="1174" t="str">
        <f t="shared" si="2"/>
        <v xml:space="preserve"> - </v>
      </c>
      <c r="AQ14" s="1174">
        <f>IF(ISNUMBER((H14-W14+K14)/(F14)),(H14-W14+K14)/(F14)," - ")</f>
        <v>-2.5087719298245612</v>
      </c>
      <c r="AR14" s="1175">
        <f>IF(ISNUMBER((Datos!P14-Datos!Q14)/(Datos!R14-Datos!P14+Datos!Q14)),(Datos!P14-Datos!Q14)/(Datos!R14-Datos!P14+Datos!Q14)," - ")</f>
        <v>-4.8311390955924439E-2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1046</v>
      </c>
      <c r="G17" s="373">
        <f>IF(ISNUMBER(IF(D_I="SI",Datos!I17,Datos!I17+Datos!AC17)),IF(D_I="SI",Datos!I17,Datos!I17+Datos!AC17)," - ")</f>
        <v>951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6830</v>
      </c>
      <c r="X17" s="240">
        <f>IF(ISNUMBER(Datos!Q17),Datos!Q17," - ")</f>
        <v>293</v>
      </c>
      <c r="Y17" s="374">
        <f t="shared" ref="Y17:Y22" si="9">SUM(W17:X17)</f>
        <v>7123</v>
      </c>
      <c r="Z17" s="375" t="str">
        <f>IF(ISNUMBER(Datos!CC17),Datos!CC17," - ")</f>
        <v xml:space="preserve"> - </v>
      </c>
      <c r="AA17" s="372">
        <f>IF(ISNUMBER(IF(D_I="SI",Datos!L17,Datos!L17+Datos!AF17)),IF(D_I="SI",Datos!L17,Datos!L17+Datos!AF17)," - ")</f>
        <v>1068</v>
      </c>
      <c r="AB17" s="374">
        <f>IF(ISNUMBER(Datos!R17),Datos!R17," - ")</f>
        <v>263</v>
      </c>
      <c r="AC17" s="374">
        <f t="shared" si="8"/>
        <v>1331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877</v>
      </c>
      <c r="AJ17" s="245" t="str">
        <f>IF(ISNUMBER(Datos!BW17),Datos!BW17," - ")</f>
        <v xml:space="preserve"> - </v>
      </c>
      <c r="AK17" s="246" t="str">
        <f>IF(ISNUMBER(Datos!BX17),Datos!BX17," - ")</f>
        <v xml:space="preserve"> - </v>
      </c>
      <c r="AL17" s="266">
        <f>IF(ISNUMBER(NºAsuntos!G17/NºAsuntos!E17),NºAsuntos!G17/NºAsuntos!E17," - ")</f>
        <v>0.99678925861062462</v>
      </c>
      <c r="AM17" s="284">
        <f>IF(ISNUMBER(((NºAsuntos!I17/NºAsuntos!G17)*11)/factor_trimestre),((NºAsuntos!I17/NºAsuntos!G17)*11)/factor_trimestre," - ")</f>
        <v>1.7200585651537335</v>
      </c>
      <c r="AN17" s="267">
        <f>IF(ISNUMBER('Resol  Asuntos'!D17/NºAsuntos!G17),'Resol  Asuntos'!D17/NºAsuntos!G17," - ")</f>
        <v>0.12840409956076135</v>
      </c>
      <c r="AO17" s="268">
        <f>IF(ISNUMBER((NºAsuntos!C17+NºAsuntos!E17)/NºAsuntos!G17),(NºAsuntos!C17+NºAsuntos!E17)/NºAsuntos!G17," - ")</f>
        <v>1.1424597364568081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171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1123</v>
      </c>
      <c r="X18" s="240">
        <f>IF(ISNUMBER(Datos!Q18),Datos!Q18," - ")</f>
        <v>9</v>
      </c>
      <c r="Y18" s="374">
        <f t="shared" si="9"/>
        <v>1132</v>
      </c>
      <c r="Z18" s="375" t="str">
        <f>IF(ISNUMBER(Datos!CC18),Datos!CC18," - ")</f>
        <v xml:space="preserve"> - </v>
      </c>
      <c r="AA18" s="372">
        <f>IF(ISNUMBER(Datos!L18),Datos!L18,"-")</f>
        <v>153</v>
      </c>
      <c r="AB18" s="374">
        <f>IF(ISNUMBER(Datos!R18),Datos!R18," - ")</f>
        <v>0</v>
      </c>
      <c r="AC18" s="374">
        <f t="shared" si="8"/>
        <v>153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46</v>
      </c>
      <c r="AJ18" s="245" t="str">
        <f>IF(ISNUMBER(Datos!BW18),Datos!BW18," - ")</f>
        <v xml:space="preserve"> - </v>
      </c>
      <c r="AK18" s="246" t="str">
        <f>IF(ISNUMBER(Datos!BX18),Datos!BX18," - ")</f>
        <v xml:space="preserve"> - </v>
      </c>
      <c r="AL18" s="266">
        <f>IF(ISNUMBER(NºAsuntos!G18/NºAsuntos!E18),NºAsuntos!G18/NºAsuntos!E18," - ")</f>
        <v>1.0227686703096539</v>
      </c>
      <c r="AM18" s="284">
        <f>IF(ISNUMBER(((NºAsuntos!I18/NºAsuntos!G18)*11)/factor_trimestre),((NºAsuntos!I18/NºAsuntos!G18)*11)/factor_trimestre," - ")</f>
        <v>1.4986642920747997</v>
      </c>
      <c r="AN18" s="267">
        <f>IF(ISNUMBER('Resol  Asuntos'!D18/NºAsuntos!G18),'Resol  Asuntos'!D18/NºAsuntos!G18," - ")</f>
        <v>4.0961709706144253E-2</v>
      </c>
      <c r="AO18" s="268">
        <f>IF(ISNUMBER((NºAsuntos!C18+NºAsuntos!E18)/NºAsuntos!G18),(NºAsuntos!C18+NºAsuntos!E18)/NºAsuntos!G18," - ")</f>
        <v>1.1300089047195014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1046</v>
      </c>
      <c r="G23" s="1163">
        <f>SUBTOTAL(9,G16:G22)</f>
        <v>1122</v>
      </c>
      <c r="H23" s="1162">
        <f t="shared" ref="H23:O23" si="13">SUBTOTAL(9,H15:H22)</f>
        <v>0</v>
      </c>
      <c r="I23" s="1164">
        <f t="shared" si="13"/>
        <v>0</v>
      </c>
      <c r="J23" s="1164">
        <f t="shared" si="13"/>
        <v>0</v>
      </c>
      <c r="K23" s="1164">
        <f t="shared" si="13"/>
        <v>0</v>
      </c>
      <c r="L23" s="1164">
        <f t="shared" si="13"/>
        <v>264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7953</v>
      </c>
      <c r="X23" s="1164">
        <f t="shared" si="14"/>
        <v>302</v>
      </c>
      <c r="Y23" s="1165">
        <f t="shared" si="14"/>
        <v>8255</v>
      </c>
      <c r="Z23" s="1165">
        <f t="shared" si="14"/>
        <v>0</v>
      </c>
      <c r="AA23" s="1165">
        <f t="shared" si="14"/>
        <v>1221</v>
      </c>
      <c r="AB23" s="1165">
        <f t="shared" si="14"/>
        <v>263</v>
      </c>
      <c r="AC23" s="1165">
        <f t="shared" si="14"/>
        <v>1484</v>
      </c>
      <c r="AD23" s="1165">
        <f t="shared" si="14"/>
        <v>0</v>
      </c>
      <c r="AE23" s="1169">
        <f t="shared" si="14"/>
        <v>0</v>
      </c>
      <c r="AF23" s="1162">
        <f t="shared" si="14"/>
        <v>0</v>
      </c>
      <c r="AG23" s="1170">
        <f t="shared" si="14"/>
        <v>0</v>
      </c>
      <c r="AH23" s="1167">
        <f t="shared" si="14"/>
        <v>0</v>
      </c>
      <c r="AI23" s="1162">
        <f t="shared" si="14"/>
        <v>923</v>
      </c>
      <c r="AJ23" s="1164">
        <f t="shared" si="14"/>
        <v>0</v>
      </c>
      <c r="AK23" s="1167">
        <f t="shared" si="14"/>
        <v>0</v>
      </c>
      <c r="AL23" s="1171">
        <f>IF(ISNUMBER(NºAsuntos!G23/NºAsuntos!E23),NºAsuntos!G23/NºAsuntos!E23," - ")</f>
        <v>1.000377358490566</v>
      </c>
      <c r="AM23" s="1171">
        <f>IF(ISNUMBER(((NºAsuntos!I23/NºAsuntos!G23)*11)/factor_trimestre),((NºAsuntos!I23/NºAsuntos!G23)*11)/factor_trimestre," - ")</f>
        <v>1.6887966804979255</v>
      </c>
      <c r="AN23" s="1172">
        <f>IF(ISNUMBER('Resol  Asuntos'!D23/NºAsuntos!G23),'Resol  Asuntos'!D23/NºAsuntos!G23," - ")</f>
        <v>0.11605683389915755</v>
      </c>
      <c r="AO23" s="1173">
        <f>IF(ISNUMBER((NºAsuntos!C23+NºAsuntos!E23)/NºAsuntos!G23),(NºAsuntos!C23+NºAsuntos!E23)/NºAsuntos!G23," - ")</f>
        <v>1.1407016220294228</v>
      </c>
      <c r="AP23" s="1174" t="str">
        <f t="shared" si="2"/>
        <v xml:space="preserve"> - </v>
      </c>
      <c r="AQ23" s="1174">
        <f>IF(ISNUMBER((H23-W23+K23)/(F23)),(H23-W23+K23)/(F23)," - ")</f>
        <v>-7.6032504780114722</v>
      </c>
      <c r="AR23" s="1175">
        <f>IF(ISNUMBER((Datos!P23-Datos!Q23)/(Datos!R23-Datos!P23+Datos!Q23)),(Datos!P23-Datos!Q23)/(Datos!R23-Datos!P23+Datos!Q23)," - ")</f>
        <v>-0.12624584717607973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1103</v>
      </c>
      <c r="G31" s="1118">
        <f t="shared" si="20"/>
        <v>1179</v>
      </c>
      <c r="H31" s="1117">
        <f t="shared" si="20"/>
        <v>0</v>
      </c>
      <c r="I31" s="1119">
        <f t="shared" si="20"/>
        <v>0</v>
      </c>
      <c r="J31" s="1119">
        <f t="shared" si="20"/>
        <v>0</v>
      </c>
      <c r="K31" s="1180">
        <f t="shared" si="20"/>
        <v>0</v>
      </c>
      <c r="L31" s="1119">
        <f t="shared" si="20"/>
        <v>2563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8096</v>
      </c>
      <c r="X31" s="1118">
        <f t="shared" si="21"/>
        <v>3023</v>
      </c>
      <c r="Y31" s="1125">
        <f t="shared" si="21"/>
        <v>11119</v>
      </c>
      <c r="Z31" s="1125">
        <f t="shared" si="21"/>
        <v>0</v>
      </c>
      <c r="AA31" s="1125">
        <f t="shared" si="21"/>
        <v>1303</v>
      </c>
      <c r="AB31" s="1125">
        <f t="shared" si="21"/>
        <v>8576</v>
      </c>
      <c r="AC31" s="1125">
        <f t="shared" si="21"/>
        <v>1593</v>
      </c>
      <c r="AD31" s="1125">
        <f t="shared" si="21"/>
        <v>0</v>
      </c>
      <c r="AE31" s="1127">
        <f t="shared" si="21"/>
        <v>0</v>
      </c>
      <c r="AF31" s="1128">
        <f t="shared" si="21"/>
        <v>0</v>
      </c>
      <c r="AG31" s="1129">
        <f t="shared" si="21"/>
        <v>0</v>
      </c>
      <c r="AH31" s="1127">
        <f t="shared" si="21"/>
        <v>0</v>
      </c>
      <c r="AI31" s="1117">
        <f t="shared" si="21"/>
        <v>2739</v>
      </c>
      <c r="AJ31" s="1117">
        <f t="shared" si="21"/>
        <v>0</v>
      </c>
      <c r="AK31" s="1127">
        <f t="shared" si="21"/>
        <v>0</v>
      </c>
      <c r="AL31" s="1183">
        <f>IF(ISNUMBER(NºAsuntos!G31/NºAsuntos!E31),NºAsuntos!G31/NºAsuntos!E31," - ")</f>
        <v>0.97854150152870567</v>
      </c>
      <c r="AM31" s="1184">
        <f>IF(ISNUMBER(((NºAsuntos!I31/NºAsuntos!G31)*11)/factor_trimestre),((NºAsuntos!I31/NºAsuntos!G31)*11)/factor_trimestre," - ")</f>
        <v>3.3032459642423189</v>
      </c>
      <c r="AN31" s="1184">
        <f>IF(ISNUMBER('Resol  Asuntos'!D31/NºAsuntos!G31),'Resol  Asuntos'!D31/NºAsuntos!G31," - ")</f>
        <v>0.15847943065440029</v>
      </c>
      <c r="AO31" s="1185">
        <f>IF(ISNUMBER((NºAsuntos!C31+NºAsuntos!E31)/NºAsuntos!G31),(NºAsuntos!C31+NºAsuntos!E31)/NºAsuntos!G31," - ")</f>
        <v>1.3042295897702945</v>
      </c>
      <c r="AP31" s="1186" t="str">
        <f t="shared" si="2"/>
        <v xml:space="preserve"> - </v>
      </c>
      <c r="AQ31" s="1187">
        <f>IF(OR(ISNUMBER(FIND("01",Criterios!A8,1)),ISNUMBER(FIND("02",Criterios!A8,1)),ISNUMBER(FIND("03",Criterios!A8,1)),ISNUMBER(FIND("04",Criterios!A8,1))),(I31-W31+K31)/(F31-K31),(H31-W31+K31)/(F31-K31))</f>
        <v>-7.3399818676337265</v>
      </c>
      <c r="AR31" s="1188">
        <f>IF(ISNUMBER((Datos!P31-Datos!Q31)/(Datos!R31-Datos!P31+Datos!Q31)),(Datos!P31-Datos!Q31)/(Datos!R31-Datos!P31+Datos!Q31)," - ")</f>
        <v>-5.090748118636565E-2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526.05272232606751</v>
      </c>
      <c r="G33" s="277">
        <f>IF(ISNUMBER(STDEV(G8:G30)),STDEV(G8:G30),"-")</f>
        <v>483.85859799857116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3505.8695273579624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785.47615222505999</v>
      </c>
      <c r="AJ33" s="276">
        <f t="shared" si="25"/>
        <v>0</v>
      </c>
      <c r="AK33" s="278">
        <f t="shared" si="25"/>
        <v>0</v>
      </c>
      <c r="AL33" s="273">
        <f t="shared" si="25"/>
        <v>6.0948000475573846E-2</v>
      </c>
      <c r="AM33" s="274">
        <f t="shared" si="25"/>
        <v>2.05066392248846</v>
      </c>
      <c r="AN33" s="274">
        <f t="shared" si="25"/>
        <v>8.6330135985613718E-2</v>
      </c>
      <c r="AO33" s="275">
        <f t="shared" si="25"/>
        <v>0.19681104131902857</v>
      </c>
      <c r="AP33" s="317" t="str">
        <f t="shared" si="25"/>
        <v>-</v>
      </c>
      <c r="AQ33" s="318">
        <f t="shared" si="25"/>
        <v>3.602340328032362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o2gS0Q2nmb4dEwe35vtnrGwxzkmTpzQjsBZ3+0Z31kYtJT83aYXmWDkZbEJsdmp0JWKVxwQql7x2KBn1usnrtQ==" saltValue="J86Qo27Jog6V2F4/FT7u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PARLA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-0.14925373134328357</v>
      </c>
      <c r="E10" s="393">
        <f>IF(ISNUMBER((Datos!J10-Datos!T10)/Datos!T10),(Datos!J10-Datos!T10)/Datos!T10," - ")</f>
        <v>0.30232558139534882</v>
      </c>
      <c r="F10" s="393">
        <f>IF(ISNUMBER((Datos!K10-Datos!U10)/Datos!U10),(Datos!K10-Datos!U10)/Datos!U10," - ")</f>
        <v>5.1470588235294115E-2</v>
      </c>
      <c r="G10" s="394">
        <f>IF(ISNUMBER((Datos!L10-Datos!V10)/Datos!V10),(Datos!L10-Datos!V10)/Datos!V10," - ")</f>
        <v>0.43859649122807015</v>
      </c>
      <c r="H10" s="244">
        <f>IF(ISNUMBER((Datos!M10-Datos!W10)/Datos!W10),(Datos!M10-Datos!W10)/Datos!W10," - ")</f>
        <v>-0.23636363636363636</v>
      </c>
      <c r="I10" s="395">
        <f>IF(ISNUMBER((Tasas!C10-Datos!BE10)/Datos!BE10),(Tasas!C10-Datos!BE10)/Datos!BE10," - ")</f>
        <v>0.36817568396515765</v>
      </c>
      <c r="J10" s="394">
        <f>IF(ISNUMBER((Tasas!D10-Datos!BF10)/Datos!BF10),(Tasas!D10-Datos!BF10)/Datos!BF10," - ")</f>
        <v>-0.27374443738080106</v>
      </c>
      <c r="K10" s="396">
        <f>IF(ISNUMBER((Tasas!E10-Datos!BG10)/Datos!BG10),(Tasas!E10-Datos!BG10)/Datos!BG10," - ")</f>
        <v>9.1765377479663138E-2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6.9318866787221212E-2</v>
      </c>
      <c r="I12" s="395">
        <f>IF(ISNUMBER((Tasas!C12-Datos!BE12)/Datos!BE12),(Tasas!C12-Datos!BE12)/Datos!BE12," - ")</f>
        <v>-7.5702711528334618E-2</v>
      </c>
      <c r="J12" s="394">
        <f>IF(ISNUMBER((Tasas!D12-Datos!BF12)/Datos!BF12),(Tasas!D12-Datos!BF12)/Datos!BF12," - ")</f>
        <v>-0.53849238153544943</v>
      </c>
      <c r="K12" s="396">
        <f>IF(ISNUMBER((Tasas!E12-Datos!BG12)/Datos!BG12),(Tasas!E12-Datos!BG12)/Datos!BG12," - ")</f>
        <v>-2.1787180954663182E-2</v>
      </c>
      <c r="M12" t="e">
        <f>IF(Monitorios="SI",Datos!CE12,0)</f>
        <v>#REF!</v>
      </c>
      <c r="N12" t="e">
        <f>IF(Monitorios="SI",Datos!CF12,0)</f>
        <v>#REF!</v>
      </c>
      <c r="O12" t="e">
        <f>IF(Monitorios="SI",Datos!CG12,0)</f>
        <v>#REF!</v>
      </c>
      <c r="P12" t="e">
        <f>IF(Monitorios="SI",Datos!CH12,0)</f>
        <v>#REF!</v>
      </c>
      <c r="Q12">
        <f>IF(J_V="SI",0,Datos!AG12)</f>
        <v>167</v>
      </c>
      <c r="R12">
        <f>IF(J_V="SI",0,Datos!AH12)</f>
        <v>636</v>
      </c>
      <c r="S12">
        <f>IF(J_V="SI",0,Datos!AI12)</f>
        <v>618</v>
      </c>
      <c r="T12">
        <f>IF(J_V="SI",0,Datos!AJ12)</f>
        <v>173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5.9509918319719954E-2</v>
      </c>
      <c r="I14" s="402">
        <f>IF(ISNUMBER((Tasas!C14-Datos!BE14)/Datos!BE14),(Tasas!C14-Datos!BE14)/Datos!BE14," - ")</f>
        <v>-6.9369588343987196E-2</v>
      </c>
      <c r="J14" s="400">
        <f>IF(ISNUMBER((Tasas!D14-Datos!BF14)/Datos!BF14),(Tasas!D14-Datos!BF14)/Datos!BF14," - ")</f>
        <v>-0.5345493418354762</v>
      </c>
      <c r="K14" s="403">
        <f>IF(ISNUMBER((Tasas!E14-Datos!BG14)/Datos!BG14),(Tasas!E14-Datos!BG14)/Datos!BG14," - ")</f>
        <v>-2.0058213130769074E-2</v>
      </c>
      <c r="M14" t="e">
        <f>IF(Monitorios="SI",Datos!CE14,0)</f>
        <v>#REF!</v>
      </c>
      <c r="N14" t="e">
        <f>IF(Monitorios="SI",Datos!CF14,0)</f>
        <v>#REF!</v>
      </c>
      <c r="O14" t="e">
        <f>IF(Monitorios="SI",Datos!CG14,0)</f>
        <v>#REF!</v>
      </c>
      <c r="P14" t="e">
        <f>IF(Monitorios="SI",Datos!CH14,0)</f>
        <v>#REF!</v>
      </c>
      <c r="Q14">
        <f>IF(J_V="SI",0,Datos!AG14)</f>
        <v>167</v>
      </c>
      <c r="R14">
        <f>IF(J_V="SI",0,Datos!AH14)</f>
        <v>636</v>
      </c>
      <c r="S14">
        <f>IF(J_V="SI",0,Datos!AI14)</f>
        <v>618</v>
      </c>
      <c r="T14">
        <f>IF(J_V="SI",0,Datos!AJ14)</f>
        <v>173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-0.16943231441048034</v>
      </c>
      <c r="E17" s="393">
        <f>IF(ISNUMBER(
   IF(D_I="SI",(Datos!J17-Datos!T17)/Datos!T17,(Datos!J17+Datos!AD17-(Datos!T17+Datos!AL17))/(Datos!T17+Datos!AL17))
     ),IF(D_I="SI",(Datos!J17-Datos!T17)/Datos!T17,(Datos!J17+Datos!AD17-(Datos!T17+Datos!AL17))/(Datos!T17+Datos!AL17))," - ")</f>
        <v>0.12623274161735701</v>
      </c>
      <c r="F17" s="393">
        <f>IF(ISNUMBER(
   IF(D_I="SI",(Datos!K17-Datos!U17)/Datos!U17,(Datos!K17+Datos!AE17-(Datos!U17+Datos!AM17))/(Datos!U17+Datos!AM17))
     ),IF(D_I="SI",(Datos!K17-Datos!U17)/Datos!U17,(Datos!K17+Datos!AE17-(Datos!U17+Datos!AM17))/(Datos!U17+Datos!AM17))," - ")</f>
        <v>8.5677952630742335E-2</v>
      </c>
      <c r="G17" s="394">
        <f>IF(ISNUMBER(
   IF(D_I="SI",(Datos!L17-Datos!V17)/Datos!V17,(Datos!L17+Datos!AF17-(Datos!V17+Datos!AN17))/(Datos!V17+Datos!AN17))
     ),IF(D_I="SI",(Datos!L17-Datos!V17)/Datos!V17,(Datos!L17+Datos!AF17-(Datos!V17+Datos!AN17))/(Datos!V17+Datos!AN17))," - ")</f>
        <v>0.12302839116719243</v>
      </c>
      <c r="H17" s="244">
        <f>IF(ISNUMBER((Datos!M17-Datos!W17)/Datos!W17),(Datos!M17-Datos!W17)/Datos!W17," - ")</f>
        <v>-0.10873983739837398</v>
      </c>
      <c r="I17" s="395">
        <f>IF(ISNUMBER((Tasas!C17-Datos!BE17)/Datos!BE17),(Tasas!C17-Datos!BE17)/Datos!BE17," - ")</f>
        <v>3.4402870985769676E-2</v>
      </c>
      <c r="J17" s="394">
        <f>IF(ISNUMBER((Tasas!D17-Datos!BF17)/Datos!BF17),(Tasas!D17-Datos!BF17)/Datos!BF17," - ")</f>
        <v>-0.17907500982037644</v>
      </c>
      <c r="K17" s="396">
        <f>IF(ISNUMBER((Tasas!E17-Datos!BG17)/Datos!BG17),(Tasas!E17-Datos!BG17)/Datos!BG17," - ")</f>
        <v>-5.7803012795988431E-3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-0.26609442060085836</v>
      </c>
      <c r="E18" s="393">
        <f>IF(ISNUMBER(
   IF(D_I="SI",(Datos!J18-Datos!T18)/Datos!T18,(Datos!J18+Datos!AD18-(Datos!T18+Datos!AL18))/(Datos!T18+Datos!AL18))
     ),IF(D_I="SI",(Datos!J18-Datos!T18)/Datos!T18,(Datos!J18+Datos!AD18-(Datos!T18+Datos!AL18))/(Datos!T18+Datos!AL18))," - ")</f>
        <v>0.16313559322033899</v>
      </c>
      <c r="F18" s="393">
        <f>IF(ISNUMBER(
   IF(D_I="SI",(Datos!K18-Datos!U18)/Datos!U18,(Datos!K18+Datos!AE18-(Datos!U18+Datos!AM18))/(Datos!U18+Datos!AM18))
     ),IF(D_I="SI",(Datos!K18-Datos!U18)/Datos!U18,(Datos!K18+Datos!AE18-(Datos!U18+Datos!AM18))/(Datos!U18+Datos!AM18))," - ")</f>
        <v>0.10422812192723697</v>
      </c>
      <c r="G18" s="394">
        <f>IF(ISNUMBER(
   IF(D_I="SI",(Datos!L18-Datos!V18)/Datos!V18,(Datos!L18+Datos!AF18-(Datos!V18+Datos!AN18))/(Datos!V18+Datos!AN18))
     ),IF(D_I="SI",(Datos!L18-Datos!V18)/Datos!V18,(Datos!L18+Datos!AF18-(Datos!V18+Datos!AN18))/(Datos!V18+Datos!AN18))," - ")</f>
        <v>-0.10526315789473684</v>
      </c>
      <c r="H18" s="244">
        <f>IF(ISNUMBER((Datos!M18-Datos!W18)/Datos!W18),(Datos!M18-Datos!W18)/Datos!W18," - ")</f>
        <v>-0.29230769230769232</v>
      </c>
      <c r="I18" s="395">
        <f>IF(ISNUMBER((Tasas!C18-Datos!BE18)/Datos!BE18),(Tasas!C18-Datos!BE18)/Datos!BE18," - ")</f>
        <v>-0.18971739232319454</v>
      </c>
      <c r="J18" s="394">
        <f>IF(ISNUMBER((Tasas!D18-Datos!BF18)/Datos!BF18),(Tasas!D18-Datos!BF18)/Datos!BF18," - ")</f>
        <v>-0.35910678813617369</v>
      </c>
      <c r="K18" s="396">
        <f>IF(ISNUMBER((Tasas!E18-Datos!BG18)/Datos!BG18),(Tasas!E18-Datos!BG18)/Datos!BG18," - ")</f>
        <v>-2.3603180883829317E-2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-0.18577648766328012</v>
      </c>
      <c r="E23" s="399">
        <f>IF(ISNUMBER(
   IF(D_I="SI",(Datos!J23-Datos!T23)/Datos!T23,(Datos!J23+Datos!AD23-(Datos!T23+Datos!AL23))/(Datos!T23+Datos!AL23))
     ),IF(D_I="SI",(Datos!J23-Datos!T23)/Datos!T23,(Datos!J23+Datos!AD23-(Datos!T23+Datos!AL23))/(Datos!T23+Datos!AL23))," - ")</f>
        <v>0.13118952760387023</v>
      </c>
      <c r="F23" s="399">
        <f>IF(ISNUMBER(
   IF(D_I="SI",(Datos!K23-Datos!U23)/Datos!U23,(Datos!K23+Datos!AE23-(Datos!U23+Datos!AM23))/(Datos!U23+Datos!AM23))
     ),IF(D_I="SI",(Datos!K23-Datos!U23)/Datos!U23,(Datos!K23+Datos!AE23-(Datos!U23+Datos!AM23))/(Datos!U23+Datos!AM23))," - ")</f>
        <v>8.8259441707717573E-2</v>
      </c>
      <c r="G23" s="400">
        <f>IF(ISNUMBER(
   IF(D_I="SI",(Datos!L23-Datos!V23)/Datos!V23,(Datos!L23+Datos!AF23-(Datos!V23+Datos!AN23))/(Datos!V23+Datos!AN23))
     ),IF(D_I="SI",(Datos!L23-Datos!V23)/Datos!V23,(Datos!L23+Datos!AF23-(Datos!V23+Datos!AN23))/(Datos!V23+Datos!AN23))," - ")</f>
        <v>8.8235294117647065E-2</v>
      </c>
      <c r="H23" s="401">
        <f>IF(ISNUMBER((Datos!M23-Datos!W23)/Datos!W23),(Datos!M23-Datos!W23)/Datos!W23," - ")</f>
        <v>-0.12011439466158245</v>
      </c>
      <c r="I23" s="402">
        <f>IF(ISNUMBER((Tasas!C23-Datos!BE23)/Datos!BE23),(Tasas!C23-Datos!BE23)/Datos!BE23," - ")</f>
        <v>-2.2189184991216492E-5</v>
      </c>
      <c r="J23" s="400">
        <f>IF(ISNUMBER((Tasas!D23-Datos!BF23)/Datos!BF23),(Tasas!D23-Datos!BF23)/Datos!BF23," - ")</f>
        <v>-0.1914744116920464</v>
      </c>
      <c r="K23" s="403">
        <f>IF(ISNUMBER((Tasas!E23-Datos!BG23)/Datos!BG23),(Tasas!E23-Datos!BG23)/Datos!BG23," - ")</f>
        <v>-8.2979474433712459E-3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-8.461538461538462E-2</v>
      </c>
      <c r="E31" s="409">
        <f>IF(ISNUMBER(
   IF(J_V="SI",(Datos!J31-Datos!T31)/Datos!T31,(Datos!J31+Datos!Z31-(Datos!T31+Datos!AH31))/(Datos!T31+Datos!AH31))
     ),IF(J_V="SI",(Datos!J31-Datos!T31)/Datos!T31,(Datos!J31+Datos!Z31-(Datos!T31+Datos!AH31))/(Datos!T31+Datos!AH31))," - ")</f>
        <v>0.16319810326659642</v>
      </c>
      <c r="F31" s="409">
        <f>IF(ISNUMBER(
   IF(J_V="SI",(Datos!K31-Datos!U31)/Datos!U31,(Datos!K31+Datos!AA31-(Datos!U31+Datos!AI31))/(Datos!U31+Datos!AI31))
     ),IF(J_V="SI",(Datos!K31-Datos!U31)/Datos!U31,(Datos!K31+Datos!AA31-(Datos!U31+Datos!AI31))/(Datos!U31+Datos!AI31))," - ")</f>
        <v>0.11309332131126425</v>
      </c>
      <c r="G31" s="410">
        <f>IF(ISNUMBER(
   IF(J_V="SI",(Datos!L31-Datos!V31)/Datos!V31,(Datos!L31+Datos!AB31-(Datos!V31+Datos!AJ31))/(Datos!V31+Datos!AJ31))
     ),IF(J_V="SI",(Datos!L31-Datos!V31)/Datos!V31,(Datos!L31+Datos!AB31-(Datos!V31+Datos!AJ31))/(Datos!V31+Datos!AJ31))," - ")</f>
        <v>6.374257019881123E-2</v>
      </c>
      <c r="H31" s="411">
        <f>IF(ISNUMBER((Datos!M31-Datos!W31)/Datos!W31),(Datos!M31-Datos!W31)/Datos!W31," - ")</f>
        <v>-8.6862106406080351E-3</v>
      </c>
      <c r="I31" s="408">
        <f>IF(ISNUMBER((Tasas!C31-Datos!BE31)/Datos!BE31),(Tasas!C31-Datos!BE31)/Datos!BE31," - ")</f>
        <v>-4.4336580022163806E-2</v>
      </c>
      <c r="J31" s="409">
        <f>IF(ISNUMBER((Tasas!D31-Datos!BF31)/Datos!BF31),(Tasas!D31-Datos!BF31)/Datos!BF31," - ")</f>
        <v>-0.45146898801362612</v>
      </c>
      <c r="K31" s="410">
        <f>IF(ISNUMBER((Tasas!E31-Datos!BG31)/Datos!BG31),(Tasas!E31-Datos!BG31)/Datos!BG31," - ")</f>
        <v>-1.2831586216078729E-2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5.1197736549771278E-2</v>
      </c>
      <c r="E33" s="303">
        <f t="shared" si="1"/>
        <v>8.2702796823261593E-2</v>
      </c>
      <c r="F33" s="303">
        <f t="shared" si="1"/>
        <v>2.2197395670609889E-2</v>
      </c>
      <c r="G33" s="304">
        <f t="shared" si="1"/>
        <v>0.22525702986944471</v>
      </c>
      <c r="H33" s="310">
        <f t="shared" si="1"/>
        <v>0.14834642250083163</v>
      </c>
      <c r="I33" s="302">
        <f t="shared" si="1"/>
        <v>0.19105351844418075</v>
      </c>
      <c r="J33" s="303">
        <f t="shared" si="1"/>
        <v>0.16108314787932862</v>
      </c>
      <c r="K33" s="304">
        <f t="shared" si="1"/>
        <v>4.4569747440668779E-2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lTOTr/rp7ETUWlFfTYej8Xy+0EIedzEJPpFtz9kmA2AucMWO5LoyuK2kuYf6MSR1waDe327lTsYOMP2jdQhaw==" saltValue="cYBXuyYgv5+VsnBAeto3j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